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J:\DRIHL-IDF\SDAOLH\BPFLSH\ANNEE_2023\10-regles financement 2023\Outils\Tableau financier\"/>
    </mc:Choice>
  </mc:AlternateContent>
  <bookViews>
    <workbookView xWindow="0" yWindow="0" windowWidth="20490" windowHeight="7305" tabRatio="775"/>
  </bookViews>
  <sheets>
    <sheet name="Notice" sheetId="3" r:id="rId1"/>
    <sheet name="Opération DC non mixte" sheetId="1" r:id="rId2"/>
    <sheet name="Opération MIXTE DC-ANRU " sheetId="2" r:id="rId3"/>
  </sheets>
  <externalReferences>
    <externalReference r:id="rId4"/>
  </externalReferences>
  <definedNames>
    <definedName name="DATEVERSION">'[1]suivi des rectificatifs'!$A$24</definedName>
    <definedName name="Lm_zone_PLS">#REF!</definedName>
    <definedName name="Lm_zone_PLUS">#REF!</definedName>
    <definedName name="stade_avancement_fiche">#REF!</definedName>
    <definedName name="VERSION">'[1]suivi des rectificatifs'!$B$24</definedName>
    <definedName name="_xlnm.Print_Area" localSheetId="1">'Opération DC non mixte'!$A$1:$T$122</definedName>
    <definedName name="_xlnm.Print_Area" localSheetId="2">'Opération MIXTE DC-ANRU '!$A$1:$T$79,'Opération MIXTE DC-ANRU '!$U$27:$AF$79,'Opération MIXTE DC-ANRU '!$A$80:$G$109</definedName>
  </definedNames>
  <calcPr calcId="162913"/>
</workbook>
</file>

<file path=xl/calcChain.xml><?xml version="1.0" encoding="utf-8"?>
<calcChain xmlns="http://schemas.openxmlformats.org/spreadsheetml/2006/main">
  <c r="G48" i="2" l="1"/>
  <c r="G49" i="2" s="1"/>
  <c r="AB38" i="2"/>
  <c r="Z38" i="2" s="1"/>
  <c r="Z39" i="2" s="1"/>
  <c r="X38" i="2"/>
  <c r="X39" i="2" s="1"/>
  <c r="AD37" i="2"/>
  <c r="AE37" i="2"/>
  <c r="S37" i="2"/>
  <c r="T37" i="2"/>
  <c r="T38" i="2"/>
  <c r="S38" i="2"/>
  <c r="S39" i="2"/>
  <c r="F49" i="2"/>
  <c r="AA39" i="2"/>
  <c r="W39" i="2"/>
  <c r="Q39" i="2"/>
  <c r="P39" i="2"/>
  <c r="O39" i="2"/>
  <c r="M39" i="2"/>
  <c r="L39" i="2"/>
  <c r="K39" i="2"/>
  <c r="J39" i="2"/>
  <c r="I39" i="2"/>
  <c r="H39" i="2"/>
  <c r="G39" i="2"/>
  <c r="F39" i="2"/>
  <c r="E39" i="2"/>
  <c r="O38" i="2"/>
  <c r="K38" i="2"/>
  <c r="H38" i="2"/>
  <c r="E38" i="2"/>
  <c r="Q42" i="1"/>
  <c r="Q41" i="1"/>
  <c r="S42" i="1"/>
  <c r="R42" i="1"/>
  <c r="E51" i="1"/>
  <c r="M41" i="1"/>
  <c r="I41" i="1"/>
  <c r="E41" i="1"/>
  <c r="M42" i="1"/>
  <c r="N42" i="1"/>
  <c r="O42" i="1"/>
  <c r="K42" i="1"/>
  <c r="J42" i="1"/>
  <c r="G42" i="1"/>
  <c r="F42" i="1"/>
  <c r="F52" i="1"/>
  <c r="G52" i="1"/>
  <c r="C42" i="1"/>
  <c r="I42" i="1"/>
  <c r="E42" i="1"/>
  <c r="B42" i="1"/>
  <c r="E52" i="1"/>
  <c r="J38" i="2"/>
  <c r="E48" i="2" l="1"/>
  <c r="E49" i="2" s="1"/>
  <c r="AB39" i="2"/>
  <c r="V38" i="2"/>
  <c r="V39" i="2" s="1"/>
  <c r="AD39" i="2" s="1"/>
  <c r="Y56" i="2"/>
  <c r="Y77" i="2"/>
  <c r="Y76" i="2"/>
  <c r="Y74" i="2"/>
  <c r="Y73" i="2"/>
  <c r="Y72" i="2"/>
  <c r="Y71" i="2"/>
  <c r="Y70" i="2"/>
  <c r="Y75" i="2" s="1"/>
  <c r="Y69" i="2"/>
  <c r="Y66" i="2"/>
  <c r="Y65" i="2"/>
  <c r="Y64" i="2"/>
  <c r="Y63" i="2"/>
  <c r="Y62" i="2"/>
  <c r="Y60" i="2"/>
  <c r="Y59" i="2"/>
  <c r="Y58" i="2"/>
  <c r="Y57" i="2"/>
  <c r="Y55" i="2"/>
  <c r="Y54" i="2"/>
  <c r="K73" i="2"/>
  <c r="K72" i="2"/>
  <c r="K65" i="2"/>
  <c r="K74" i="2"/>
  <c r="K71" i="2"/>
  <c r="K70" i="2"/>
  <c r="K69" i="2"/>
  <c r="K68" i="2"/>
  <c r="K67" i="2"/>
  <c r="K66" i="2"/>
  <c r="K63" i="2"/>
  <c r="K62" i="2"/>
  <c r="K61" i="2"/>
  <c r="K60" i="2"/>
  <c r="K59" i="2"/>
  <c r="K64" i="2"/>
  <c r="K58" i="2"/>
  <c r="K55" i="2"/>
  <c r="K56" i="2"/>
  <c r="K57" i="2"/>
  <c r="K54" i="2"/>
  <c r="E54" i="2"/>
  <c r="D77" i="2"/>
  <c r="D76" i="2"/>
  <c r="D67" i="2"/>
  <c r="D75" i="2"/>
  <c r="D69" i="2"/>
  <c r="D70" i="2"/>
  <c r="D71" i="2"/>
  <c r="D72" i="2"/>
  <c r="D73" i="2"/>
  <c r="D74" i="2"/>
  <c r="D63" i="2"/>
  <c r="D64" i="2"/>
  <c r="D65" i="2"/>
  <c r="D66" i="2"/>
  <c r="D62" i="2"/>
  <c r="D58" i="2"/>
  <c r="D59" i="2"/>
  <c r="D60" i="2"/>
  <c r="D56" i="2"/>
  <c r="D57" i="2"/>
  <c r="D55" i="2"/>
  <c r="D54" i="2"/>
  <c r="C39" i="2"/>
  <c r="C37" i="2"/>
  <c r="C35" i="2"/>
  <c r="C34" i="2"/>
  <c r="C32" i="2"/>
  <c r="G47" i="2"/>
  <c r="F47" i="2"/>
  <c r="E47" i="2"/>
  <c r="AE38" i="2"/>
  <c r="AD38" i="2" s="1"/>
  <c r="Z37" i="2"/>
  <c r="AA37" i="2" s="1"/>
  <c r="V37" i="2"/>
  <c r="W37" i="2" s="1"/>
  <c r="O37" i="2"/>
  <c r="L37" i="2"/>
  <c r="K37" i="2"/>
  <c r="M37" i="2" s="1"/>
  <c r="H37" i="2"/>
  <c r="F37" i="2"/>
  <c r="G37" i="2"/>
  <c r="E37" i="2"/>
  <c r="Q38" i="2"/>
  <c r="M38" i="2"/>
  <c r="G38" i="2"/>
  <c r="E16" i="1"/>
  <c r="B39" i="1"/>
  <c r="D80" i="1"/>
  <c r="D78" i="1"/>
  <c r="D74" i="1"/>
  <c r="D75" i="1"/>
  <c r="D76" i="1"/>
  <c r="D77" i="1"/>
  <c r="D73" i="1"/>
  <c r="D69" i="1"/>
  <c r="D70" i="1"/>
  <c r="D68" i="1"/>
  <c r="D67" i="1"/>
  <c r="D66" i="1"/>
  <c r="D64" i="1"/>
  <c r="D63" i="1"/>
  <c r="D62" i="1"/>
  <c r="D61" i="1"/>
  <c r="D59" i="1"/>
  <c r="D58" i="1"/>
  <c r="AB37" i="2" l="1"/>
  <c r="X37" i="2"/>
  <c r="P37" i="2"/>
  <c r="Q37" i="2" s="1"/>
  <c r="J37" i="2"/>
  <c r="I37" i="2"/>
  <c r="G5" i="3"/>
  <c r="D5" i="3"/>
  <c r="C5" i="3"/>
  <c r="A5" i="3"/>
  <c r="F2" i="3"/>
  <c r="A2" i="3"/>
  <c r="AL30" i="1" l="1"/>
  <c r="B26" i="1" l="1"/>
  <c r="B104" i="2" l="1"/>
  <c r="B96" i="2"/>
  <c r="B90" i="2"/>
  <c r="B85" i="2"/>
  <c r="B113" i="1"/>
  <c r="B105" i="1"/>
  <c r="B99" i="1"/>
  <c r="B94" i="1"/>
  <c r="B97" i="2" l="1"/>
  <c r="B106" i="1"/>
  <c r="B106" i="2" l="1"/>
  <c r="C106" i="2" s="1"/>
  <c r="C97" i="2"/>
  <c r="B115" i="1"/>
  <c r="C106" i="1"/>
  <c r="X75" i="2"/>
  <c r="W75" i="2"/>
  <c r="C75" i="2"/>
  <c r="B75" i="2"/>
  <c r="J72" i="2"/>
  <c r="X67" i="2"/>
  <c r="W67" i="2"/>
  <c r="C67" i="2"/>
  <c r="B67" i="2"/>
  <c r="J64" i="2"/>
  <c r="X61" i="2"/>
  <c r="W61" i="2"/>
  <c r="C61" i="2"/>
  <c r="B61" i="2"/>
  <c r="J58" i="2"/>
  <c r="X56" i="2"/>
  <c r="W56" i="2"/>
  <c r="C56" i="2"/>
  <c r="B56" i="2"/>
  <c r="B36" i="2"/>
  <c r="AV26" i="2"/>
  <c r="AV25" i="2"/>
  <c r="B25" i="2"/>
  <c r="AV24" i="2"/>
  <c r="B15" i="2"/>
  <c r="BB13" i="2"/>
  <c r="AX13" i="2"/>
  <c r="I13" i="2"/>
  <c r="E13" i="2"/>
  <c r="BA20" i="2" s="1"/>
  <c r="BB12" i="2"/>
  <c r="AX12" i="2"/>
  <c r="I12" i="2"/>
  <c r="I11" i="2" s="1"/>
  <c r="AY12" i="2" s="1"/>
  <c r="E12" i="2"/>
  <c r="C79" i="1"/>
  <c r="B79" i="1"/>
  <c r="J76" i="1"/>
  <c r="C71" i="1"/>
  <c r="B71" i="1"/>
  <c r="J68" i="1"/>
  <c r="C65" i="1"/>
  <c r="B65" i="1"/>
  <c r="J62" i="1"/>
  <c r="C60" i="1"/>
  <c r="B60" i="1"/>
  <c r="AE28" i="1"/>
  <c r="AE27" i="1"/>
  <c r="AE26" i="1"/>
  <c r="I16" i="1"/>
  <c r="B16" i="1"/>
  <c r="AG14" i="1"/>
  <c r="AG13" i="1"/>
  <c r="C105" i="2" l="1"/>
  <c r="C101" i="2"/>
  <c r="C91" i="2"/>
  <c r="C104" i="2"/>
  <c r="C102" i="2"/>
  <c r="C87" i="2"/>
  <c r="C103" i="2"/>
  <c r="C88" i="2"/>
  <c r="C92" i="2"/>
  <c r="C84" i="2"/>
  <c r="C96" i="2"/>
  <c r="C98" i="2"/>
  <c r="C89" i="2"/>
  <c r="C90" i="2"/>
  <c r="C86" i="2"/>
  <c r="C93" i="2"/>
  <c r="C99" i="2"/>
  <c r="C94" i="2"/>
  <c r="C83" i="2"/>
  <c r="C100" i="2"/>
  <c r="C95" i="2"/>
  <c r="C85" i="2"/>
  <c r="J69" i="1"/>
  <c r="C114" i="1"/>
  <c r="C96" i="1"/>
  <c r="C92" i="1"/>
  <c r="C100" i="1"/>
  <c r="C109" i="1"/>
  <c r="C115" i="1"/>
  <c r="C97" i="1"/>
  <c r="C95" i="1"/>
  <c r="C108" i="1"/>
  <c r="C98" i="1"/>
  <c r="C102" i="1"/>
  <c r="C104" i="1"/>
  <c r="C112" i="1"/>
  <c r="C103" i="1"/>
  <c r="C111" i="1"/>
  <c r="C101" i="1"/>
  <c r="C110" i="1"/>
  <c r="C93" i="1"/>
  <c r="C107" i="1"/>
  <c r="C99" i="1"/>
  <c r="C94" i="1"/>
  <c r="C113" i="1"/>
  <c r="C105" i="1"/>
  <c r="E11" i="2"/>
  <c r="AY13" i="2" s="1"/>
  <c r="E45" i="2"/>
  <c r="F45" i="2" s="1"/>
  <c r="E44" i="2"/>
  <c r="F44" i="2" s="1"/>
  <c r="E43" i="2"/>
  <c r="F43" i="2" s="1"/>
  <c r="W68" i="2"/>
  <c r="W77" i="2" s="1"/>
  <c r="B39" i="2"/>
  <c r="X68" i="2"/>
  <c r="X77" i="2" s="1"/>
  <c r="AF21" i="1"/>
  <c r="AH14" i="1"/>
  <c r="AF16" i="1"/>
  <c r="AH13" i="1"/>
  <c r="J78" i="1"/>
  <c r="K68" i="1" s="1"/>
  <c r="D60" i="1"/>
  <c r="D71" i="1"/>
  <c r="D79" i="1"/>
  <c r="B68" i="2"/>
  <c r="B77" i="2" s="1"/>
  <c r="C72" i="1"/>
  <c r="C81" i="1" s="1"/>
  <c r="J65" i="2"/>
  <c r="B72" i="1"/>
  <c r="B81" i="1" s="1"/>
  <c r="C68" i="2"/>
  <c r="C77" i="2" s="1"/>
  <c r="Y61" i="2"/>
  <c r="AW13" i="2"/>
  <c r="AW16" i="2"/>
  <c r="AW12" i="2"/>
  <c r="BA19" i="2"/>
  <c r="AW19" i="2"/>
  <c r="AW15" i="2"/>
  <c r="BA12" i="2"/>
  <c r="AF13" i="1"/>
  <c r="AF17" i="1"/>
  <c r="D65" i="1"/>
  <c r="AF20" i="1"/>
  <c r="AF14" i="1"/>
  <c r="D61" i="2"/>
  <c r="D68" i="2" s="1"/>
  <c r="Y67" i="2"/>
  <c r="BA13" i="2"/>
  <c r="D81" i="1" l="1"/>
  <c r="K62" i="1"/>
  <c r="K69" i="1"/>
  <c r="K72" i="1"/>
  <c r="K67" i="1"/>
  <c r="K66" i="1"/>
  <c r="K73" i="1"/>
  <c r="K63" i="1"/>
  <c r="K75" i="1"/>
  <c r="K64" i="1"/>
  <c r="K58" i="1"/>
  <c r="K74" i="1"/>
  <c r="K59" i="1"/>
  <c r="K61" i="1"/>
  <c r="K65" i="1"/>
  <c r="K71" i="1"/>
  <c r="K78" i="1"/>
  <c r="K70" i="1"/>
  <c r="K60" i="1"/>
  <c r="K77" i="1"/>
  <c r="K76" i="1"/>
  <c r="G41" i="1"/>
  <c r="E40" i="1"/>
  <c r="S41" i="1"/>
  <c r="Q40" i="1"/>
  <c r="E50" i="1"/>
  <c r="G51" i="1"/>
  <c r="I40" i="1"/>
  <c r="K41" i="1"/>
  <c r="I38" i="1"/>
  <c r="J38" i="1" s="1"/>
  <c r="K38" i="1" s="1"/>
  <c r="E71" i="2"/>
  <c r="AW20" i="2"/>
  <c r="Z61" i="2"/>
  <c r="G44" i="2"/>
  <c r="G43" i="2"/>
  <c r="J74" i="2"/>
  <c r="G45" i="2"/>
  <c r="E46" i="2"/>
  <c r="E46" i="1"/>
  <c r="E48" i="1"/>
  <c r="E47" i="1"/>
  <c r="I37" i="1"/>
  <c r="J37" i="1" s="1"/>
  <c r="K37" i="1" s="1"/>
  <c r="I35" i="1"/>
  <c r="E58" i="1"/>
  <c r="E61" i="2"/>
  <c r="Z69" i="2"/>
  <c r="Z63" i="2"/>
  <c r="D72" i="1"/>
  <c r="V32" i="2"/>
  <c r="V34" i="2"/>
  <c r="V35" i="2"/>
  <c r="E74" i="1"/>
  <c r="E77" i="2"/>
  <c r="E72" i="2"/>
  <c r="E55" i="2"/>
  <c r="E73" i="2"/>
  <c r="E70" i="2"/>
  <c r="E65" i="2"/>
  <c r="E62" i="2"/>
  <c r="E66" i="2"/>
  <c r="E63" i="2"/>
  <c r="E59" i="2"/>
  <c r="O32" i="2"/>
  <c r="O34" i="2"/>
  <c r="O35" i="2"/>
  <c r="Q37" i="1"/>
  <c r="Q35" i="1"/>
  <c r="Q38" i="1"/>
  <c r="H34" i="2"/>
  <c r="H35" i="2"/>
  <c r="H32" i="2"/>
  <c r="E68" i="2"/>
  <c r="E60" i="2"/>
  <c r="Z34" i="2"/>
  <c r="Z35" i="2"/>
  <c r="Z32" i="2"/>
  <c r="E56" i="2"/>
  <c r="Z74" i="2"/>
  <c r="Y68" i="2"/>
  <c r="E57" i="2"/>
  <c r="E76" i="2"/>
  <c r="E37" i="1"/>
  <c r="E38" i="1"/>
  <c r="E35" i="1"/>
  <c r="E32" i="2"/>
  <c r="E34" i="2"/>
  <c r="E35" i="2"/>
  <c r="E58" i="2"/>
  <c r="E74" i="2"/>
  <c r="E75" i="2"/>
  <c r="E67" i="2"/>
  <c r="Z72" i="2"/>
  <c r="E64" i="2"/>
  <c r="O41" i="1" l="1"/>
  <c r="J40" i="1"/>
  <c r="K40" i="1" s="1"/>
  <c r="F50" i="1"/>
  <c r="G50" i="1" s="1"/>
  <c r="R40" i="1"/>
  <c r="S40" i="1" s="1"/>
  <c r="F40" i="1"/>
  <c r="M40" i="1"/>
  <c r="E69" i="2"/>
  <c r="E76" i="1"/>
  <c r="E79" i="1"/>
  <c r="E80" i="1"/>
  <c r="I39" i="1"/>
  <c r="Z67" i="2"/>
  <c r="Z71" i="2"/>
  <c r="Z70" i="2"/>
  <c r="Z65" i="2"/>
  <c r="Z60" i="2"/>
  <c r="Z55" i="2"/>
  <c r="Z62" i="2"/>
  <c r="Z76" i="2"/>
  <c r="Z56" i="2"/>
  <c r="Z64" i="2"/>
  <c r="Z58" i="2"/>
  <c r="Z54" i="2"/>
  <c r="Z73" i="2"/>
  <c r="Z77" i="2"/>
  <c r="Z66" i="2"/>
  <c r="Z75" i="2"/>
  <c r="Z68" i="2"/>
  <c r="Z57" i="2"/>
  <c r="Z59" i="2"/>
  <c r="F46" i="2"/>
  <c r="G46" i="2"/>
  <c r="B108" i="2" s="1"/>
  <c r="E66" i="1"/>
  <c r="E49" i="1"/>
  <c r="F46" i="1"/>
  <c r="G46" i="1" s="1"/>
  <c r="F48" i="1"/>
  <c r="G48" i="1" s="1"/>
  <c r="F47" i="1"/>
  <c r="J35" i="1"/>
  <c r="J39" i="1" s="1"/>
  <c r="E72" i="1"/>
  <c r="E60" i="1"/>
  <c r="E77" i="1"/>
  <c r="E73" i="1"/>
  <c r="E78" i="1"/>
  <c r="E75" i="1"/>
  <c r="E61" i="1"/>
  <c r="E63" i="1"/>
  <c r="E59" i="1"/>
  <c r="E62" i="1"/>
  <c r="E70" i="1"/>
  <c r="E71" i="1"/>
  <c r="E67" i="1"/>
  <c r="E81" i="1"/>
  <c r="E68" i="1"/>
  <c r="E69" i="1"/>
  <c r="E64" i="1"/>
  <c r="E65" i="1"/>
  <c r="AA34" i="2"/>
  <c r="AB34" i="2" s="1"/>
  <c r="M35" i="1"/>
  <c r="F35" i="1"/>
  <c r="E39" i="1"/>
  <c r="F34" i="2"/>
  <c r="K34" i="2"/>
  <c r="E36" i="2"/>
  <c r="K32" i="2"/>
  <c r="F32" i="2"/>
  <c r="R38" i="1"/>
  <c r="S38" i="1" s="1"/>
  <c r="P35" i="2"/>
  <c r="Q35" i="2" s="1"/>
  <c r="F38" i="1"/>
  <c r="N38" i="1" s="1"/>
  <c r="M38" i="1"/>
  <c r="R35" i="1"/>
  <c r="S35" i="1" s="1"/>
  <c r="Q39" i="1"/>
  <c r="P34" i="2"/>
  <c r="Q34" i="2" s="1"/>
  <c r="AD35" i="2"/>
  <c r="W35" i="2"/>
  <c r="X35" i="2" s="1"/>
  <c r="F37" i="1"/>
  <c r="N37" i="1" s="1"/>
  <c r="M37" i="1"/>
  <c r="H36" i="2"/>
  <c r="I32" i="2"/>
  <c r="P32" i="2"/>
  <c r="Q32" i="2" s="1"/>
  <c r="O36" i="2"/>
  <c r="W34" i="2"/>
  <c r="X34" i="2" s="1"/>
  <c r="AD34" i="2"/>
  <c r="AA32" i="2"/>
  <c r="AB32" i="2" s="1"/>
  <c r="Z36" i="2"/>
  <c r="I35" i="2"/>
  <c r="J35" i="2" s="1"/>
  <c r="R37" i="1"/>
  <c r="S37" i="1" s="1"/>
  <c r="W32" i="2"/>
  <c r="V36" i="2"/>
  <c r="AD32" i="2"/>
  <c r="F35" i="2"/>
  <c r="K35" i="2"/>
  <c r="AA35" i="2"/>
  <c r="AB35" i="2" s="1"/>
  <c r="I34" i="2"/>
  <c r="J34" i="2" s="1"/>
  <c r="N40" i="1" l="1"/>
  <c r="O40" i="1" s="1"/>
  <c r="C40" i="1" s="1"/>
  <c r="G40" i="1"/>
  <c r="W36" i="2"/>
  <c r="K35" i="1"/>
  <c r="K39" i="1" s="1"/>
  <c r="C83" i="1" s="1"/>
  <c r="F49" i="1"/>
  <c r="G47" i="1"/>
  <c r="G49" i="1" s="1"/>
  <c r="B117" i="1" s="1"/>
  <c r="O38" i="1"/>
  <c r="C38" i="1" s="1"/>
  <c r="AE35" i="2"/>
  <c r="G38" i="1"/>
  <c r="AD36" i="2"/>
  <c r="AE34" i="2"/>
  <c r="Q36" i="2"/>
  <c r="J76" i="2" s="1"/>
  <c r="O37" i="1"/>
  <c r="C37" i="1" s="1"/>
  <c r="S34" i="2"/>
  <c r="F36" i="2"/>
  <c r="L32" i="2"/>
  <c r="M32" i="2" s="1"/>
  <c r="L34" i="2"/>
  <c r="M34" i="2" s="1"/>
  <c r="T34" i="2" s="1"/>
  <c r="X32" i="2"/>
  <c r="AA36" i="2"/>
  <c r="P36" i="2"/>
  <c r="G37" i="1"/>
  <c r="S39" i="1"/>
  <c r="J80" i="1" s="1"/>
  <c r="K36" i="2"/>
  <c r="S32" i="2"/>
  <c r="G34" i="2"/>
  <c r="L35" i="2"/>
  <c r="M35" i="2" s="1"/>
  <c r="T35" i="2" s="1"/>
  <c r="G35" i="2"/>
  <c r="R39" i="1"/>
  <c r="G32" i="2"/>
  <c r="N35" i="1"/>
  <c r="N39" i="1" s="1"/>
  <c r="F39" i="1"/>
  <c r="I36" i="2"/>
  <c r="G35" i="1"/>
  <c r="AB36" i="2"/>
  <c r="X79" i="2" s="1"/>
  <c r="S35" i="2"/>
  <c r="J32" i="2"/>
  <c r="J36" i="2" s="1"/>
  <c r="C79" i="2" s="1"/>
  <c r="M39" i="1"/>
  <c r="G39" i="1" l="1"/>
  <c r="B83" i="1" s="1"/>
  <c r="G36" i="2"/>
  <c r="B79" i="2" s="1"/>
  <c r="X36" i="2"/>
  <c r="AE32" i="2"/>
  <c r="L36" i="2"/>
  <c r="M36" i="2"/>
  <c r="T32" i="2"/>
  <c r="S36" i="2"/>
  <c r="O35" i="1"/>
  <c r="C35" i="1" s="1"/>
  <c r="C36" i="2" l="1"/>
  <c r="C39" i="1"/>
  <c r="O39" i="1"/>
  <c r="T36" i="2"/>
  <c r="T39" i="2"/>
  <c r="AE36" i="2"/>
  <c r="AE39" i="2" l="1"/>
  <c r="W79" i="2"/>
</calcChain>
</file>

<file path=xl/sharedStrings.xml><?xml version="1.0" encoding="utf-8"?>
<sst xmlns="http://schemas.openxmlformats.org/spreadsheetml/2006/main" count="459" uniqueCount="192">
  <si>
    <t>Mode d'emploi du fichier :</t>
  </si>
  <si>
    <t>- Compléter toutes les cellules en jaunes dans l'ordre. Si certaines d'entres elles ne sont pas concernées par l'opération, laisser les cellules en l'état</t>
  </si>
  <si>
    <t>- Les cellules blanches sont protégées et correspondent à des calculs automatiques</t>
  </si>
  <si>
    <t>- Pour renseigner les surfaces, recopier les surfaces indiquées dans le tableau type "surfaces-loyers"</t>
  </si>
  <si>
    <t>- Concernant le volet prix de revient, à partir du HT saisi, le fichier va faire automatiquement la ventilation PLAI-PLUS et PLS et compléter automatiquement le prix de revient PLAI-PLUS et PLS</t>
  </si>
  <si>
    <t>- Concernant le volet plan de financement, renseigner les différentes subventions, prêts et fonds propres. Pour les prêts, il convient d'indiquer leur durée. Le fichier est correctement rempli si le contrôle de l'équilibre de l'opération renvoie bien la valeur "Ok"</t>
  </si>
  <si>
    <t>- Dans le cas d'opérations mixtes ANRU-droit commun, utiliser l'onglet suivant</t>
  </si>
  <si>
    <t>Tableau financier : prix de revient et plan de financement de l'opération</t>
  </si>
  <si>
    <t>DESCRIPTION DE L’OPERATION PLUS-PLAI-PLS</t>
  </si>
  <si>
    <t xml:space="preserve">Adresse, nom de l’opération </t>
  </si>
  <si>
    <t>106 rue Jean Jaurès</t>
  </si>
  <si>
    <t>SPLAI/Stot</t>
  </si>
  <si>
    <t>SPLAI/SPLUS</t>
  </si>
  <si>
    <t xml:space="preserve">Commune </t>
  </si>
  <si>
    <t>Surface utile</t>
  </si>
  <si>
    <t xml:space="preserve">Bailleur </t>
  </si>
  <si>
    <t>Surface habitable</t>
  </si>
  <si>
    <t>Type</t>
  </si>
  <si>
    <t>Construction neuve</t>
  </si>
  <si>
    <t>SPLS/Stot</t>
  </si>
  <si>
    <t>total logements sociaux</t>
  </si>
  <si>
    <t>SH totale</t>
  </si>
  <si>
    <t>SU totale</t>
  </si>
  <si>
    <t xml:space="preserve">dont PLUS </t>
  </si>
  <si>
    <t>SH PLUS</t>
  </si>
  <si>
    <t>SU PLUS</t>
  </si>
  <si>
    <t xml:space="preserve">dont PLAI </t>
  </si>
  <si>
    <t>SH PLAI</t>
  </si>
  <si>
    <t>SU PLAI</t>
  </si>
  <si>
    <t>dont PLAI adapté</t>
  </si>
  <si>
    <t>dont SH PLAI adapté</t>
  </si>
  <si>
    <t>dont SU PLAI adapté</t>
  </si>
  <si>
    <t>SPLUS/Stot</t>
  </si>
  <si>
    <t xml:space="preserve">dont PLS </t>
  </si>
  <si>
    <t>SH PLS</t>
  </si>
  <si>
    <t>SU PLS</t>
  </si>
  <si>
    <t xml:space="preserve">date de mise à jour : </t>
  </si>
  <si>
    <t>taux de TVA réduite en vigueur pour PLAI</t>
  </si>
  <si>
    <t>taux de TVA réduite en vigueur pour PLUS</t>
  </si>
  <si>
    <t>taux de TVA réduite en vigueur pour PLS</t>
  </si>
  <si>
    <t>PRIX DE REVIENT – DROIT COMMUN – PLAI/PLUS/PLS</t>
  </si>
  <si>
    <t>Acquisition-amélioration</t>
  </si>
  <si>
    <t>TOTAL PLAI-PLUS-PLS</t>
  </si>
  <si>
    <t>PLAI</t>
  </si>
  <si>
    <t xml:space="preserve">PLUS </t>
  </si>
  <si>
    <t xml:space="preserve">PLAI-PLUS </t>
  </si>
  <si>
    <t>PLS</t>
  </si>
  <si>
    <t>HT droit commun</t>
  </si>
  <si>
    <t>TTC droit commun</t>
  </si>
  <si>
    <t>HT PLAI</t>
  </si>
  <si>
    <t>TVA PLAI</t>
  </si>
  <si>
    <t>TTC PLAI</t>
  </si>
  <si>
    <t>HT PLUS</t>
  </si>
  <si>
    <t>TVA PLUS</t>
  </si>
  <si>
    <t>TTC PLUS</t>
  </si>
  <si>
    <t>HT PLAI-PLUS</t>
  </si>
  <si>
    <t>TVA PLAI-PLUS</t>
  </si>
  <si>
    <t>TTC PLAI-PLUS</t>
  </si>
  <si>
    <t>HT PLS</t>
  </si>
  <si>
    <t>TVA PLS</t>
  </si>
  <si>
    <t>TTC PLS</t>
  </si>
  <si>
    <t xml:space="preserve">Sous-total charge foncière </t>
  </si>
  <si>
    <t>dont coût du terrain si MOD</t>
  </si>
  <si>
    <t xml:space="preserve">Sous-total bâti, travaux </t>
  </si>
  <si>
    <t xml:space="preserve">Sous-total honoraires </t>
  </si>
  <si>
    <t xml:space="preserve">TOTAL </t>
  </si>
  <si>
    <t xml:space="preserve">TOTAL  
Y COMPRIS LES FRAIS FINANCIERS </t>
  </si>
  <si>
    <t>PLAN DE FINANCEMENT INITIAL PLAI-PLUS DROIT COMMUN</t>
  </si>
  <si>
    <t>PLAN DE FINANCEMENT INITIAL PLS DROIT COMMUN</t>
  </si>
  <si>
    <t>Financement PLAI – Montant en €</t>
  </si>
  <si>
    <t>Financement PLUS – Montant en €</t>
  </si>
  <si>
    <t>Montant en €</t>
  </si>
  <si>
    <t>% du total à financer</t>
  </si>
  <si>
    <t>Observations</t>
  </si>
  <si>
    <t>Subvention principale</t>
  </si>
  <si>
    <t>Selon règles de financement départementales</t>
  </si>
  <si>
    <t xml:space="preserve">Subvention de la Commune </t>
  </si>
  <si>
    <t xml:space="preserve">Subvention complémentaire pour PLAI adapté </t>
  </si>
  <si>
    <t>Forfait PLAI adapté : 17 500 € en logement familial ou 15 500 € en résidence sociale</t>
  </si>
  <si>
    <t xml:space="preserve">Subvention de l'EPT </t>
  </si>
  <si>
    <t xml:space="preserve"> </t>
  </si>
  <si>
    <t xml:space="preserve">sous-total subventions Etat </t>
  </si>
  <si>
    <t xml:space="preserve">Subvention du Département </t>
  </si>
  <si>
    <t xml:space="preserve">Subvention de la Région </t>
  </si>
  <si>
    <t xml:space="preserve">sous-total subventions collectivités </t>
  </si>
  <si>
    <t xml:space="preserve">Subvention Action Logement </t>
  </si>
  <si>
    <t>Subvention autre 1</t>
  </si>
  <si>
    <t>Subvention autre 2</t>
  </si>
  <si>
    <t>Subvention autre 3</t>
  </si>
  <si>
    <t>Subvention autre 4</t>
  </si>
  <si>
    <t xml:space="preserve">sous-total subventions autres </t>
  </si>
  <si>
    <t xml:space="preserve">Total des subventions </t>
  </si>
  <si>
    <t>Prêt CDC PLS bâti</t>
  </si>
  <si>
    <t>préciser la durée</t>
  </si>
  <si>
    <t>Prêt CDC PLS fonier</t>
  </si>
  <si>
    <t xml:space="preserve">Prêt Action Logement PLS </t>
  </si>
  <si>
    <t xml:space="preserve">Prêt CDC bâti </t>
  </si>
  <si>
    <t>Autres prêts 1</t>
  </si>
  <si>
    <t xml:space="preserve">Prêt CDC foncier </t>
  </si>
  <si>
    <t>Autres prêts 2</t>
  </si>
  <si>
    <t xml:space="preserve">Prêt Action Logement </t>
  </si>
  <si>
    <t>Autres prêts 3</t>
  </si>
  <si>
    <t>Total des prêts</t>
  </si>
  <si>
    <t xml:space="preserve">Fonds propres </t>
  </si>
  <si>
    <t>TOTAL DU FINANCEMENT</t>
  </si>
  <si>
    <t xml:space="preserve">contrôle : équilibre de l'opération ? </t>
  </si>
  <si>
    <t>- Concernant le volet plan de financement, renseigner les différentes subventions, prêts et fond propres. Pour les prêts, il convient d'indiquer leur durée. Le fichier est correctement rempli si le contrôle de l'équilibre de l'opération renvoie bien la valeur "Ok"</t>
  </si>
  <si>
    <t>OPERATION PLUS-PLAI-PLS</t>
  </si>
  <si>
    <t>SPLAI DC/Stot</t>
  </si>
  <si>
    <t>SPLAI ANRU/Stot</t>
  </si>
  <si>
    <t>SH totale DC</t>
  </si>
  <si>
    <t>SU totale DC</t>
  </si>
  <si>
    <t>SH totale ANRU</t>
  </si>
  <si>
    <t>SU totale ANRU</t>
  </si>
  <si>
    <t>SH PLUS DC</t>
  </si>
  <si>
    <t>SU PLUS DC</t>
  </si>
  <si>
    <t>SH PLUS ANRU</t>
  </si>
  <si>
    <t>SU PLUS ANRU</t>
  </si>
  <si>
    <t>dont PLUS ANRU</t>
  </si>
  <si>
    <t>SH PLAI DC</t>
  </si>
  <si>
    <t>SU PLAI DC</t>
  </si>
  <si>
    <t>dont PLUS DC</t>
  </si>
  <si>
    <t>dont PLAI ANRU</t>
  </si>
  <si>
    <t>SH PLAI ANRU</t>
  </si>
  <si>
    <t>SU PLAI ANRU</t>
  </si>
  <si>
    <t>SPLUS DC/Stot</t>
  </si>
  <si>
    <t>SPLUS ANRU/Stot</t>
  </si>
  <si>
    <t>dont PLAI DC</t>
  </si>
  <si>
    <t>taux de TVA réduite en vigueur pour PLUS DC</t>
  </si>
  <si>
    <t>PRIX DE REVIENT – GLOBAL</t>
  </si>
  <si>
    <t>PRIX DE REVIENT – DROIT COMMUN</t>
  </si>
  <si>
    <t>PRIX DE REVIENT – ANRU</t>
  </si>
  <si>
    <t>PLAI droit commun</t>
  </si>
  <si>
    <t>PLUS droit commun</t>
  </si>
  <si>
    <t>PLAI-PLUS droit commun</t>
  </si>
  <si>
    <t>PLS droit commun</t>
  </si>
  <si>
    <t>PLAI-PLUS-PLS droit commun</t>
  </si>
  <si>
    <t>PLAI ANRU</t>
  </si>
  <si>
    <t>PLUS ANRU</t>
  </si>
  <si>
    <t>PLAI-PLUS ANRU</t>
  </si>
  <si>
    <t xml:space="preserve">HT </t>
  </si>
  <si>
    <t>TTC</t>
  </si>
  <si>
    <t>HT</t>
  </si>
  <si>
    <t>PLAN DE FINANCEMENT INITIAL PLAI-PLUS ANRU</t>
  </si>
  <si>
    <t>Subvention complémentaire</t>
  </si>
  <si>
    <t>sous-total subventions Anru</t>
  </si>
  <si>
    <t xml:space="preserve">sous-total subv. collectivités </t>
  </si>
  <si>
    <t>Prêt CDC PLS foncier</t>
  </si>
  <si>
    <t>Prêt Action Logement</t>
  </si>
  <si>
    <t>Prêt bonifié</t>
  </si>
  <si>
    <t>Tableau financier prévisionnel au stade de l'agrément</t>
  </si>
  <si>
    <t>rue des Quinze Arpents</t>
  </si>
  <si>
    <t>Orly</t>
  </si>
  <si>
    <t>CDC Habitat Social</t>
  </si>
  <si>
    <t>40 ans</t>
  </si>
  <si>
    <t>60 ans</t>
  </si>
  <si>
    <t>dont PLAI-adapté</t>
  </si>
  <si>
    <t>HT PLAI-adapté</t>
  </si>
  <si>
    <t>TVA PLAI-a</t>
  </si>
  <si>
    <t>TTC PLAI-adapté</t>
  </si>
  <si>
    <t xml:space="preserve">TOTAL  Y COMPRIS LES FRAIS FINANCIERS </t>
  </si>
  <si>
    <t>SPLAI-adapté/Stot</t>
  </si>
  <si>
    <t>Financement PLAI (y compris PLAI-adapté) – Montant en €</t>
  </si>
  <si>
    <r>
      <t xml:space="preserve">Financement PLAI </t>
    </r>
    <r>
      <rPr>
        <b/>
        <u/>
        <sz val="12"/>
        <color rgb="FF000000"/>
        <rFont val="Arial"/>
        <family val="2"/>
      </rPr>
      <t>adapté</t>
    </r>
    <r>
      <rPr>
        <sz val="12"/>
        <color rgb="FF000000"/>
        <rFont val="Arial"/>
        <family val="2"/>
      </rPr>
      <t xml:space="preserve"> Montant en €</t>
    </r>
  </si>
  <si>
    <t>PLAN DE FINANCEMENT PLAI-adapté</t>
  </si>
  <si>
    <t>SPLAI-adaptéDC/Stot</t>
  </si>
  <si>
    <t>PLAN DE FINANCEMENT PLAI adapté DROIT COMMUN</t>
  </si>
  <si>
    <t>Choix ratio  
(menu déroulant)</t>
  </si>
  <si>
    <r>
      <rPr>
        <u/>
        <sz val="12"/>
        <color rgb="FF000000"/>
        <rFont val="Arial"/>
        <family val="2"/>
      </rPr>
      <t>Prix de VEFA</t>
    </r>
    <r>
      <rPr>
        <sz val="12"/>
        <color rgb="FF000000"/>
        <rFont val="Arial"/>
        <family val="2"/>
      </rPr>
      <t xml:space="preserve">
(PLAI, PLUS, PLS)</t>
    </r>
  </si>
  <si>
    <t>Notice d'utilisation</t>
  </si>
  <si>
    <t>Récapitulatif des mises à jour du fichier</t>
  </si>
  <si>
    <t xml:space="preserve">A lire avant de débuter la saisie des autres onglets </t>
  </si>
  <si>
    <t>Présentation du fichier</t>
  </si>
  <si>
    <t>Version diffusée</t>
  </si>
  <si>
    <t>DIVERS</t>
  </si>
  <si>
    <t>Frais financiers</t>
  </si>
  <si>
    <t>PLAI - PLUS - PLS Droit Commun et PLAI - PLUS ANRU</t>
  </si>
  <si>
    <t>Coquilles de calcul + distinction ligne divers et frais financier + ajout notice</t>
  </si>
  <si>
    <t>Tous les onglets</t>
  </si>
  <si>
    <t>Ce fichier résulte des travaux des ateliers de la Concertation, co-portés par la DRIHL et l'AORIF en 2022.</t>
  </si>
  <si>
    <t xml:space="preserve">Il vise à simplifier et à harmoniser les pièces à joindre au moment de l'instruction des agréments de LLS. </t>
  </si>
  <si>
    <t>Articulation du fichier avec le SIAP</t>
  </si>
  <si>
    <t>Ce fichier est complémentaire des saisies qui doivent être faites directement dans le SIAP par les bailleurs sociaux dans le cadre de la dématérialisation des demandes. De plus ce fichier permet d'accélérer l'instruction dans le SIAP.</t>
  </si>
  <si>
    <t xml:space="preserve"> - "Opération DC non mixte" : onglet à renseigner dans le cas d'opérations en droit commun uniquement</t>
  </si>
  <si>
    <t xml:space="preserve"> - "Opération MIXTE DC-ANRU" : onglet à renseigner dans le cas d'opérations mistes ANRU-droit commun</t>
  </si>
  <si>
    <t>Le fichier comprend les onglets suivants :</t>
  </si>
  <si>
    <t>Il convient d'utiliser la dernière version disponible sur le site de la DRIHL.</t>
  </si>
  <si>
    <t xml:space="preserve"> - Pour l'onglet choisi (DC ou mixte DC-ANRU), compléter toutes les cellules en jaunes dans l'ordre. Si certaines d'entre elles ne sont pas concernées par l'opération, laisser les cellules en l'état</t>
  </si>
  <si>
    <t xml:space="preserve"> - Les cellules blanches sont protégées et correspondent à des calculs automatiques</t>
  </si>
  <si>
    <t xml:space="preserve"> - Pour renseigner les surfaces, recopier les surfaces indiquées dans le tableau type "surfaces-loyers"</t>
  </si>
  <si>
    <t xml:space="preserve"> - Concernant le volet prix de revient, à partir du HT saisi, le fichier va faire automatiquement la ventilation PLAI-PLUS et PLS et compléter automatiquement le prix de revient PLAI-PLUS et PLS</t>
  </si>
  <si>
    <t xml:space="preserve"> - Concernant le volet plan de financement, renseigner les différentes subventions, prêts et fonds propres. Pour les prêts, il convient d'indiquer leur durée. Le fichier est correctement rempli si le contrôle de l'équilibre de l'opération renvoie bien la valeur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</si>
</sst>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0.00&quot;    &quot;;\-#,##0.00&quot;    &quot;;\-#&quot;    &quot;;\ @\ "/>
    <numFmt numFmtId="165" formatCode="\ #,##0.00&quot; € &quot;;\-#,##0.00&quot; € &quot;;\-#&quot; € &quot;;\ @\ "/>
    <numFmt numFmtId="166" formatCode="0\ %"/>
    <numFmt numFmtId="167" formatCode="#\ #00.00&quot; m²&quot;"/>
    <numFmt numFmtId="168" formatCode="0.0%"/>
    <numFmt numFmtId="169" formatCode="#,##0.00\ [$€-40C];[Red]\-#,##0.00\ [$€-40C]"/>
    <numFmt numFmtId="170" formatCode="#,##0\ [$€-40C];[Red]\-#,##0\ [$€-40C]"/>
    <numFmt numFmtId="171" formatCode="\ 0&quot; F &quot;;\-0&quot; F &quot;;\-#&quot; F &quot;;\ @\ "/>
    <numFmt numFmtId="172" formatCode="0.000"/>
    <numFmt numFmtId="173" formatCode="[$-40C]d\ mmmm\ yyyy;@"/>
    <numFmt numFmtId="174" formatCode="\ #,##0&quot;    &quot;;\-#,##0&quot;    &quot;;\-#&quot;    &quot;;\ @\ "/>
    <numFmt numFmtId="178" formatCode="_-* #,##0.00\ _€_-;\-* #,##0.00\ _€_-;_-* \-??\ _€_-;_-@_-"/>
    <numFmt numFmtId="179" formatCode="_-* #,##0.00\ _F_-;\-* #,##0.00\ _F_-;_-* \-??\ _F_-;_-@_-"/>
    <numFmt numFmtId="180" formatCode="#,##0.00&quot; F &quot;;\-#,##0.00&quot; F &quot;;&quot; -&quot;#&quot; F &quot;;@\ "/>
    <numFmt numFmtId="181" formatCode="_-* #,##0.00&quot; €&quot;_-;\-* #,##0.00&quot; €&quot;_-;_-* \-??&quot; €&quot;_-;_-@_-"/>
    <numFmt numFmtId="182" formatCode="_-* #,##0.00&quot; F&quot;_-;\-* #,##0.00&quot; F&quot;_-;_-* \-??&quot; F&quot;_-;_-@_-"/>
  </numFmts>
  <fonts count="31">
    <font>
      <sz val="10"/>
      <color rgb="FF000000"/>
      <name val="바탕"/>
    </font>
    <font>
      <sz val="11"/>
      <color theme="1"/>
      <name val="Calibri"/>
      <family val="2"/>
      <scheme val="minor"/>
    </font>
    <font>
      <sz val="10"/>
      <color rgb="FF9C0006"/>
      <name val="바탕"/>
    </font>
    <font>
      <sz val="12"/>
      <color rgb="FF000000"/>
      <name val="Arial"/>
      <family val="2"/>
    </font>
    <font>
      <b/>
      <u/>
      <sz val="12"/>
      <color rgb="FF000000"/>
      <name val="Arial"/>
      <family val="2"/>
    </font>
    <font>
      <b/>
      <sz val="12"/>
      <color rgb="FF000000"/>
      <name val="Arial"/>
      <family val="2"/>
    </font>
    <font>
      <u/>
      <sz val="12"/>
      <color rgb="FF000000"/>
      <name val="Arial"/>
      <family val="2"/>
    </font>
    <font>
      <i/>
      <sz val="12"/>
      <color rgb="FF000000"/>
      <name val="Arial"/>
      <family val="2"/>
    </font>
    <font>
      <b/>
      <sz val="12"/>
      <color rgb="FFCE181E"/>
      <name val="Arial"/>
      <family val="2"/>
    </font>
    <font>
      <sz val="10"/>
      <color rgb="FF000000"/>
      <name val="바탕"/>
    </font>
    <font>
      <b/>
      <sz val="11"/>
      <color rgb="FF000000"/>
      <name val="Arial"/>
      <family val="2"/>
    </font>
    <font>
      <sz val="11"/>
      <color rgb="FF000000"/>
      <name val="Arial"/>
      <family val="2"/>
    </font>
    <font>
      <sz val="10"/>
      <name val="MS Sans Serif"/>
      <family val="2"/>
      <charset val="1"/>
    </font>
    <font>
      <b/>
      <sz val="11"/>
      <color rgb="FF002060"/>
      <name val="Arial"/>
      <family val="2"/>
      <charset val="1"/>
    </font>
    <font>
      <b/>
      <sz val="11"/>
      <color rgb="FF000000"/>
      <name val="Arial"/>
      <family val="2"/>
      <charset val="1"/>
    </font>
    <font>
      <i/>
      <sz val="10"/>
      <color rgb="FF0070C0"/>
      <name val="Arial"/>
      <family val="2"/>
      <charset val="1"/>
    </font>
    <font>
      <b/>
      <sz val="10"/>
      <color rgb="FF000000"/>
      <name val="Arial"/>
      <family val="2"/>
      <charset val="1"/>
    </font>
    <font>
      <sz val="10"/>
      <name val="Times New Roman"/>
      <family val="1"/>
      <charset val="1"/>
    </font>
    <font>
      <sz val="10"/>
      <name val="Arial"/>
      <family val="2"/>
      <charset val="1"/>
    </font>
    <font>
      <sz val="11"/>
      <color rgb="FF000000"/>
      <name val="Calibri"/>
      <family val="2"/>
      <charset val="1"/>
    </font>
    <font>
      <b/>
      <i/>
      <sz val="11"/>
      <color rgb="FF003366"/>
      <name val="Arial"/>
      <family val="2"/>
      <charset val="1"/>
    </font>
    <font>
      <i/>
      <sz val="11"/>
      <color rgb="FF31859C"/>
      <name val="Arial"/>
      <family val="2"/>
      <charset val="1"/>
    </font>
    <font>
      <b/>
      <i/>
      <sz val="11"/>
      <color rgb="FF0070C0"/>
      <name val="Arial"/>
      <family val="2"/>
      <charset val="1"/>
    </font>
    <font>
      <sz val="11"/>
      <color rgb="FF000000"/>
      <name val="Arial"/>
      <family val="2"/>
      <charset val="1"/>
    </font>
    <font>
      <u/>
      <sz val="11"/>
      <color rgb="FF000000"/>
      <name val="Arial"/>
      <family val="2"/>
    </font>
    <font>
      <sz val="12"/>
      <color theme="1"/>
      <name val="Calibri"/>
      <family val="2"/>
      <scheme val="minor"/>
    </font>
    <font>
      <sz val="12"/>
      <name val="Arial"/>
      <family val="2"/>
    </font>
    <font>
      <sz val="10"/>
      <name val="Arial"/>
      <family val="2"/>
    </font>
    <font>
      <b/>
      <sz val="10"/>
      <name val="Arial"/>
      <family val="2"/>
      <charset val="1"/>
    </font>
    <font>
      <b/>
      <i/>
      <sz val="11"/>
      <color rgb="FF31859C"/>
      <name val="Arial"/>
      <family val="2"/>
      <charset val="1"/>
    </font>
    <font>
      <u/>
      <sz val="11"/>
      <color theme="10"/>
      <name val="Calibri"/>
      <family val="2"/>
      <charset val="1"/>
    </font>
  </fonts>
  <fills count="14">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E8F2A1"/>
        <bgColor rgb="FFFFFFCC"/>
      </patternFill>
    </fill>
    <fill>
      <patternFill patternType="solid">
        <fgColor rgb="FFD9D9D9"/>
        <bgColor rgb="FFB4C7DC"/>
      </patternFill>
    </fill>
    <fill>
      <patternFill patternType="solid">
        <fgColor rgb="FFFFB66C"/>
        <bgColor rgb="FFFF99CC"/>
      </patternFill>
    </fill>
    <fill>
      <patternFill patternType="solid">
        <fgColor rgb="FFF2F2F2"/>
        <bgColor rgb="FFFFFFFF"/>
      </patternFill>
    </fill>
    <fill>
      <patternFill patternType="solid">
        <fgColor rgb="FFD4EA6B"/>
        <bgColor rgb="FFE8F2A1"/>
      </patternFill>
    </fill>
    <fill>
      <patternFill patternType="solid">
        <fgColor rgb="FFB4C7DC"/>
        <bgColor rgb="FF99CCFF"/>
      </patternFill>
    </fill>
    <fill>
      <patternFill patternType="solid">
        <fgColor theme="9" tint="0.79998168889431442"/>
        <bgColor rgb="FFFFFFCC"/>
      </patternFill>
    </fill>
    <fill>
      <patternFill patternType="solid">
        <fgColor rgb="FF93CDDD"/>
        <bgColor rgb="FFB4C7DC"/>
      </patternFill>
    </fill>
    <fill>
      <patternFill patternType="solid">
        <fgColor theme="2" tint="-0.749992370372631"/>
        <bgColor rgb="FF000000"/>
      </patternFill>
    </fill>
    <fill>
      <patternFill patternType="solid">
        <fgColor theme="0"/>
        <bgColor indexed="64"/>
      </patternFill>
    </fill>
  </fills>
  <borders count="3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top/>
      <bottom style="hair">
        <color auto="1"/>
      </bottom>
      <diagonal/>
    </border>
    <border>
      <left/>
      <right/>
      <top/>
      <bottom style="hair">
        <color auto="1"/>
      </bottom>
      <diagonal/>
    </border>
  </borders>
  <cellStyleXfs count="98">
    <xf numFmtId="0" fontId="0" fillId="0" borderId="0"/>
    <xf numFmtId="164" fontId="9" fillId="0" borderId="0" applyBorder="0" applyProtection="0"/>
    <xf numFmtId="165" fontId="9" fillId="0" borderId="0" applyBorder="0" applyProtection="0"/>
    <xf numFmtId="166" fontId="9" fillId="0" borderId="0" applyBorder="0" applyProtection="0"/>
    <xf numFmtId="0" fontId="2" fillId="2" borderId="0" applyBorder="0" applyProtection="0"/>
    <xf numFmtId="0" fontId="12" fillId="0" borderId="0"/>
    <xf numFmtId="0" fontId="17" fillId="0" borderId="0"/>
    <xf numFmtId="0" fontId="19" fillId="0" borderId="0"/>
    <xf numFmtId="0" fontId="25" fillId="0" borderId="0"/>
    <xf numFmtId="178" fontId="19" fillId="0" borderId="0" applyBorder="0" applyProtection="0"/>
    <xf numFmtId="166" fontId="19" fillId="0" borderId="0" applyBorder="0" applyProtection="0"/>
    <xf numFmtId="0" fontId="19" fillId="0" borderId="10" applyProtection="0">
      <alignment horizontal="left" vertical="center" wrapText="1" indent="1"/>
    </xf>
    <xf numFmtId="0" fontId="18" fillId="0" borderId="0" applyBorder="0" applyProtection="0">
      <alignment horizontal="left"/>
    </xf>
    <xf numFmtId="0" fontId="18" fillId="0" borderId="0" applyBorder="0" applyProtection="0"/>
    <xf numFmtId="0" fontId="18" fillId="0" borderId="0" applyBorder="0" applyProtection="0"/>
    <xf numFmtId="0" fontId="18" fillId="0" borderId="0" applyBorder="0" applyProtection="0"/>
    <xf numFmtId="0" fontId="12" fillId="0" borderId="0" applyBorder="0" applyProtection="0"/>
    <xf numFmtId="178" fontId="18" fillId="0" borderId="0" applyBorder="0" applyProtection="0"/>
    <xf numFmtId="178" fontId="18" fillId="0" borderId="0" applyBorder="0" applyProtection="0"/>
    <xf numFmtId="178" fontId="18" fillId="0" borderId="0" applyBorder="0" applyProtection="0"/>
    <xf numFmtId="178" fontId="18" fillId="0" borderId="0" applyBorder="0" applyProtection="0"/>
    <xf numFmtId="178" fontId="18" fillId="0" borderId="0" applyBorder="0" applyProtection="0"/>
    <xf numFmtId="40" fontId="19" fillId="0" borderId="0" applyBorder="0" applyProtection="0"/>
    <xf numFmtId="40" fontId="19" fillId="0" borderId="0" applyBorder="0" applyProtection="0"/>
    <xf numFmtId="178" fontId="18" fillId="0" borderId="0" applyBorder="0" applyProtection="0"/>
    <xf numFmtId="179" fontId="18" fillId="0" borderId="0" applyBorder="0" applyProtection="0"/>
    <xf numFmtId="178" fontId="18" fillId="0" borderId="0" applyBorder="0" applyProtection="0"/>
    <xf numFmtId="178" fontId="18" fillId="0" borderId="0" applyBorder="0" applyProtection="0"/>
    <xf numFmtId="179" fontId="18" fillId="0" borderId="0" applyBorder="0" applyProtection="0"/>
    <xf numFmtId="178" fontId="19" fillId="0" borderId="0" applyBorder="0" applyProtection="0"/>
    <xf numFmtId="179" fontId="18" fillId="0" borderId="0" applyBorder="0" applyProtection="0"/>
    <xf numFmtId="179" fontId="18" fillId="0" borderId="0" applyBorder="0" applyProtection="0"/>
    <xf numFmtId="179" fontId="18" fillId="0" borderId="0" applyBorder="0" applyProtection="0"/>
    <xf numFmtId="179" fontId="18" fillId="0" borderId="0" applyBorder="0" applyProtection="0"/>
    <xf numFmtId="179" fontId="18" fillId="0" borderId="0" applyBorder="0" applyProtection="0"/>
    <xf numFmtId="178" fontId="18" fillId="0" borderId="0" applyBorder="0" applyProtection="0"/>
    <xf numFmtId="178" fontId="18" fillId="0" borderId="0" applyBorder="0" applyProtection="0"/>
    <xf numFmtId="38" fontId="18" fillId="0" borderId="0" applyBorder="0" applyProtection="0"/>
    <xf numFmtId="180" fontId="18" fillId="0" borderId="0" applyBorder="0" applyProtection="0"/>
    <xf numFmtId="181" fontId="19" fillId="0" borderId="0" applyBorder="0" applyProtection="0"/>
    <xf numFmtId="181" fontId="19" fillId="0" borderId="0" applyBorder="0" applyProtection="0"/>
    <xf numFmtId="182" fontId="18" fillId="0" borderId="0" applyBorder="0" applyProtection="0"/>
    <xf numFmtId="180" fontId="18" fillId="0" borderId="0" applyBorder="0" applyProtection="0"/>
    <xf numFmtId="182" fontId="18" fillId="0" borderId="0" applyBorder="0" applyProtection="0"/>
    <xf numFmtId="0" fontId="18" fillId="0" borderId="0"/>
    <xf numFmtId="0" fontId="18" fillId="0" borderId="0"/>
    <xf numFmtId="0" fontId="18" fillId="0" borderId="0"/>
    <xf numFmtId="0" fontId="19" fillId="0" borderId="0"/>
    <xf numFmtId="0" fontId="19" fillId="0" borderId="0"/>
    <xf numFmtId="0" fontId="27" fillId="0" borderId="0"/>
    <xf numFmtId="0" fontId="12" fillId="0" borderId="0"/>
    <xf numFmtId="0" fontId="18" fillId="0" borderId="0"/>
    <xf numFmtId="0" fontId="18" fillId="0" borderId="0"/>
    <xf numFmtId="0" fontId="12" fillId="0" borderId="0"/>
    <xf numFmtId="0" fontId="12" fillId="0" borderId="0"/>
    <xf numFmtId="0" fontId="19" fillId="0" borderId="0"/>
    <xf numFmtId="0" fontId="19" fillId="0" borderId="0"/>
    <xf numFmtId="0" fontId="19" fillId="0" borderId="0"/>
    <xf numFmtId="0" fontId="17" fillId="0" borderId="0"/>
    <xf numFmtId="0" fontId="19" fillId="0" borderId="0"/>
    <xf numFmtId="0" fontId="12" fillId="0" borderId="0"/>
    <xf numFmtId="0" fontId="19" fillId="0" borderId="0"/>
    <xf numFmtId="0" fontId="19" fillId="0" borderId="0"/>
    <xf numFmtId="0" fontId="12" fillId="0" borderId="0"/>
    <xf numFmtId="0" fontId="18" fillId="0" borderId="0"/>
    <xf numFmtId="0" fontId="18" fillId="0" borderId="0" applyBorder="0" applyProtection="0">
      <alignment horizontal="left"/>
    </xf>
    <xf numFmtId="0" fontId="18" fillId="0" borderId="0" applyBorder="0" applyProtection="0"/>
    <xf numFmtId="0" fontId="18" fillId="0" borderId="0" applyBorder="0" applyProtection="0"/>
    <xf numFmtId="0" fontId="28" fillId="0" borderId="0" applyBorder="0" applyProtection="0"/>
    <xf numFmtId="0" fontId="28" fillId="0" borderId="0" applyBorder="0" applyProtection="0">
      <alignment horizontal="left"/>
    </xf>
    <xf numFmtId="0" fontId="18" fillId="0" borderId="0" applyBorder="0" applyProtection="0"/>
    <xf numFmtId="166" fontId="18" fillId="0" borderId="0" applyBorder="0" applyProtection="0"/>
    <xf numFmtId="166" fontId="18" fillId="0" borderId="0" applyBorder="0" applyProtection="0"/>
    <xf numFmtId="166" fontId="18" fillId="0" borderId="0" applyBorder="0" applyProtection="0"/>
    <xf numFmtId="166" fontId="18" fillId="0" borderId="0" applyBorder="0" applyProtection="0"/>
    <xf numFmtId="166" fontId="18" fillId="0" borderId="0" applyBorder="0" applyProtection="0"/>
    <xf numFmtId="166" fontId="12" fillId="0" borderId="0" applyBorder="0" applyProtection="0"/>
    <xf numFmtId="166" fontId="18" fillId="0" borderId="0" applyBorder="0" applyProtection="0"/>
    <xf numFmtId="166" fontId="12" fillId="0" borderId="0" applyBorder="0" applyProtection="0"/>
    <xf numFmtId="166" fontId="18" fillId="0" borderId="0" applyBorder="0" applyProtection="0"/>
    <xf numFmtId="166" fontId="18" fillId="0" borderId="0" applyBorder="0" applyProtection="0"/>
    <xf numFmtId="166" fontId="18" fillId="0" borderId="0" applyBorder="0" applyProtection="0"/>
    <xf numFmtId="166" fontId="18" fillId="0" borderId="0" applyBorder="0" applyProtection="0"/>
    <xf numFmtId="166" fontId="19" fillId="0" borderId="0" applyBorder="0" applyProtection="0"/>
    <xf numFmtId="166" fontId="18" fillId="0" borderId="0" applyBorder="0" applyProtection="0"/>
    <xf numFmtId="166" fontId="18" fillId="0" borderId="0" applyBorder="0" applyProtection="0"/>
    <xf numFmtId="166" fontId="18" fillId="0" borderId="0" applyBorder="0" applyProtection="0"/>
    <xf numFmtId="0" fontId="28" fillId="0" borderId="0" applyBorder="0" applyProtection="0"/>
    <xf numFmtId="0" fontId="19" fillId="2" borderId="0" applyBorder="0" applyProtection="0"/>
    <xf numFmtId="0" fontId="19" fillId="2" borderId="0" applyBorder="0" applyProtection="0"/>
    <xf numFmtId="0" fontId="12" fillId="0" borderId="0"/>
    <xf numFmtId="166" fontId="18" fillId="0" borderId="0" applyBorder="0" applyProtection="0"/>
    <xf numFmtId="0" fontId="28" fillId="0" borderId="0" applyBorder="0" applyProtection="0">
      <alignment horizontal="left"/>
    </xf>
    <xf numFmtId="0" fontId="18" fillId="0" borderId="0" applyBorder="0" applyProtection="0"/>
    <xf numFmtId="0" fontId="1" fillId="0" borderId="0"/>
    <xf numFmtId="0" fontId="30" fillId="0" borderId="0" applyNumberFormat="0" applyFill="0" applyBorder="0" applyAlignment="0" applyProtection="0"/>
    <xf numFmtId="178" fontId="19" fillId="0" borderId="0" applyBorder="0" applyProtection="0"/>
    <xf numFmtId="178" fontId="19" fillId="0" borderId="0" applyBorder="0" applyProtection="0"/>
  </cellStyleXfs>
  <cellXfs count="268">
    <xf numFmtId="0" fontId="0" fillId="0" borderId="0" xfId="0"/>
    <xf numFmtId="0" fontId="4"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horizontal="right" vertical="center"/>
    </xf>
    <xf numFmtId="0" fontId="3" fillId="3" borderId="3" xfId="0" applyFont="1" applyFill="1" applyBorder="1" applyAlignment="1" applyProtection="1">
      <alignment horizontal="left"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3" borderId="0" xfId="0" applyFont="1" applyFill="1" applyAlignment="1" applyProtection="1">
      <alignment horizontal="left" vertical="center"/>
      <protection locked="0"/>
    </xf>
    <xf numFmtId="0" fontId="3" fillId="0" borderId="0" xfId="0" applyFont="1" applyAlignment="1">
      <alignment horizontal="right" vertical="center"/>
    </xf>
    <xf numFmtId="0" fontId="3" fillId="0" borderId="6" xfId="0" applyFont="1" applyBorder="1" applyAlignment="1">
      <alignment vertical="center"/>
    </xf>
    <xf numFmtId="0" fontId="6" fillId="0" borderId="5" xfId="0" applyFont="1" applyBorder="1" applyAlignment="1">
      <alignment horizontal="right" vertical="center"/>
    </xf>
    <xf numFmtId="0" fontId="5" fillId="3" borderId="0" xfId="0" applyFont="1" applyFill="1" applyAlignment="1" applyProtection="1">
      <alignment vertical="center"/>
      <protection locked="0"/>
    </xf>
    <xf numFmtId="0" fontId="3" fillId="0" borderId="0" xfId="0" applyFont="1" applyAlignment="1">
      <alignment horizontal="left" vertical="center"/>
    </xf>
    <xf numFmtId="0" fontId="3" fillId="3" borderId="0" xfId="0" applyFont="1" applyFill="1" applyAlignment="1" applyProtection="1">
      <alignment horizontal="center" vertical="center"/>
      <protection locked="0"/>
    </xf>
    <xf numFmtId="167" fontId="3" fillId="0" borderId="0" xfId="0"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5" fillId="5" borderId="10" xfId="0" applyFont="1" applyFill="1" applyBorder="1" applyAlignment="1">
      <alignment horizontal="right" vertical="center"/>
    </xf>
    <xf numFmtId="169" fontId="5" fillId="0" borderId="0" xfId="1" applyNumberFormat="1" applyFont="1" applyBorder="1" applyAlignment="1" applyProtection="1">
      <alignment horizontal="center" vertical="center"/>
    </xf>
    <xf numFmtId="169" fontId="5" fillId="0" borderId="0" xfId="0" applyNumberFormat="1" applyFont="1" applyAlignment="1">
      <alignment horizontal="center" vertical="center"/>
    </xf>
    <xf numFmtId="0" fontId="5" fillId="0" borderId="10" xfId="0" applyFont="1" applyBorder="1" applyAlignment="1">
      <alignment horizontal="right" vertical="center"/>
    </xf>
    <xf numFmtId="169" fontId="5" fillId="0" borderId="0" xfId="2" applyNumberFormat="1" applyFont="1" applyBorder="1" applyAlignment="1" applyProtection="1">
      <alignment horizontal="center" vertical="center"/>
    </xf>
    <xf numFmtId="170" fontId="3" fillId="0" borderId="10" xfId="0" applyNumberFormat="1" applyFont="1" applyBorder="1" applyAlignment="1">
      <alignment horizontal="right" vertical="center"/>
    </xf>
    <xf numFmtId="169" fontId="3" fillId="0" borderId="0" xfId="0" applyNumberFormat="1" applyFont="1" applyAlignment="1">
      <alignment horizontal="right" vertical="center"/>
    </xf>
    <xf numFmtId="169" fontId="3" fillId="0" borderId="0" xfId="0" applyNumberFormat="1" applyFont="1" applyAlignment="1">
      <alignment horizontal="center" vertical="center"/>
    </xf>
    <xf numFmtId="0" fontId="3" fillId="0" borderId="10" xfId="0" applyFont="1" applyBorder="1" applyAlignment="1">
      <alignment horizontal="right" vertical="center"/>
    </xf>
    <xf numFmtId="0" fontId="5" fillId="0" borderId="10" xfId="0" applyFont="1" applyBorder="1" applyAlignment="1">
      <alignment horizontal="right" vertical="center" wrapText="1"/>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166" fontId="3" fillId="0" borderId="10" xfId="3" applyFont="1" applyBorder="1" applyAlignment="1" applyProtection="1">
      <alignment vertical="center"/>
    </xf>
    <xf numFmtId="170" fontId="3" fillId="3" borderId="10" xfId="1" applyNumberFormat="1" applyFont="1" applyFill="1" applyBorder="1" applyAlignment="1" applyProtection="1">
      <alignment horizontal="center" vertical="center"/>
      <protection locked="0"/>
    </xf>
    <xf numFmtId="166" fontId="3" fillId="0" borderId="10" xfId="3" applyFont="1" applyBorder="1" applyAlignment="1" applyProtection="1">
      <alignment horizontal="center" vertical="center"/>
    </xf>
    <xf numFmtId="168" fontId="3" fillId="0" borderId="10" xfId="3" applyNumberFormat="1" applyFont="1" applyBorder="1" applyAlignment="1" applyProtection="1">
      <alignment horizontal="center" vertical="center"/>
    </xf>
    <xf numFmtId="164" fontId="3" fillId="0" borderId="10" xfId="1" applyFont="1" applyBorder="1" applyAlignment="1" applyProtection="1">
      <alignment vertical="center"/>
      <protection locked="0"/>
    </xf>
    <xf numFmtId="0" fontId="3" fillId="0" borderId="10" xfId="0" applyFont="1" applyBorder="1" applyAlignment="1">
      <alignment vertical="center" wrapText="1"/>
    </xf>
    <xf numFmtId="0" fontId="5" fillId="7" borderId="10" xfId="0" applyFont="1" applyFill="1" applyBorder="1" applyAlignment="1">
      <alignment horizontal="center" vertical="center"/>
    </xf>
    <xf numFmtId="170" fontId="5" fillId="7" borderId="10" xfId="1" applyNumberFormat="1" applyFont="1" applyFill="1" applyBorder="1" applyAlignment="1" applyProtection="1">
      <alignment horizontal="center" vertical="center"/>
    </xf>
    <xf numFmtId="168" fontId="5" fillId="7" borderId="10" xfId="3" applyNumberFormat="1" applyFont="1" applyFill="1" applyBorder="1" applyAlignment="1" applyProtection="1">
      <alignment horizontal="center" vertical="center"/>
    </xf>
    <xf numFmtId="0" fontId="5" fillId="7" borderId="10" xfId="0" applyFont="1" applyFill="1" applyBorder="1" applyAlignment="1">
      <alignment horizontal="right" vertical="center" wrapText="1"/>
    </xf>
    <xf numFmtId="0" fontId="3" fillId="3" borderId="10" xfId="0" applyFont="1" applyFill="1" applyBorder="1" applyAlignment="1" applyProtection="1">
      <alignment vertical="center"/>
      <protection locked="0"/>
    </xf>
    <xf numFmtId="0" fontId="5" fillId="7" borderId="10" xfId="0" applyFont="1" applyFill="1" applyBorder="1" applyAlignment="1">
      <alignment horizontal="right" vertical="center"/>
    </xf>
    <xf numFmtId="0" fontId="3" fillId="3" borderId="14" xfId="0" applyFont="1" applyFill="1" applyBorder="1" applyAlignment="1" applyProtection="1">
      <alignment vertical="center"/>
      <protection locked="0"/>
    </xf>
    <xf numFmtId="170" fontId="5" fillId="5" borderId="10" xfId="1" applyNumberFormat="1" applyFont="1" applyFill="1" applyBorder="1" applyAlignment="1" applyProtection="1">
      <alignment horizontal="center" vertical="center"/>
    </xf>
    <xf numFmtId="168" fontId="5" fillId="5" borderId="10" xfId="3" applyNumberFormat="1" applyFont="1" applyFill="1" applyBorder="1" applyAlignment="1" applyProtection="1">
      <alignment horizontal="center" vertical="center"/>
    </xf>
    <xf numFmtId="0" fontId="3" fillId="3" borderId="10" xfId="0" applyFont="1" applyFill="1" applyBorder="1" applyAlignment="1" applyProtection="1">
      <alignment horizontal="right" vertical="center"/>
      <protection locked="0"/>
    </xf>
    <xf numFmtId="0" fontId="3" fillId="2" borderId="10" xfId="0" applyFont="1" applyFill="1" applyBorder="1" applyAlignment="1">
      <alignment horizontal="right" vertical="center"/>
    </xf>
    <xf numFmtId="171" fontId="5" fillId="5" borderId="10" xfId="2" applyNumberFormat="1" applyFont="1" applyFill="1" applyBorder="1" applyAlignment="1" applyProtection="1">
      <alignment horizontal="right" vertical="center"/>
    </xf>
    <xf numFmtId="170" fontId="5" fillId="3" borderId="10" xfId="1" applyNumberFormat="1" applyFont="1" applyFill="1" applyBorder="1" applyAlignment="1" applyProtection="1">
      <alignment horizontal="center" vertical="center"/>
      <protection locked="0"/>
    </xf>
    <xf numFmtId="171" fontId="5" fillId="0" borderId="10" xfId="2" applyNumberFormat="1" applyFont="1" applyBorder="1" applyAlignment="1" applyProtection="1">
      <alignment horizontal="right" vertical="center" wrapText="1"/>
    </xf>
    <xf numFmtId="170" fontId="5" fillId="0" borderId="10" xfId="0" applyNumberFormat="1" applyFont="1" applyBorder="1" applyAlignment="1">
      <alignment horizontal="center" vertical="center"/>
    </xf>
    <xf numFmtId="166" fontId="5" fillId="0" borderId="10" xfId="3" applyFont="1" applyBorder="1" applyAlignment="1" applyProtection="1">
      <alignment horizontal="center" vertical="center"/>
    </xf>
    <xf numFmtId="171" fontId="5" fillId="0" borderId="10" xfId="2" applyNumberFormat="1" applyFont="1" applyBorder="1" applyAlignment="1" applyProtection="1">
      <alignment horizontal="right" vertical="center"/>
    </xf>
    <xf numFmtId="168" fontId="5" fillId="0" borderId="10" xfId="3" applyNumberFormat="1" applyFont="1" applyBorder="1" applyAlignment="1" applyProtection="1">
      <alignment horizontal="center" vertical="center"/>
    </xf>
    <xf numFmtId="0" fontId="3" fillId="0" borderId="3" xfId="0" applyFont="1" applyBorder="1" applyAlignment="1">
      <alignment horizontal="center" vertical="center"/>
    </xf>
    <xf numFmtId="172" fontId="3" fillId="0" borderId="0" xfId="0" applyNumberFormat="1" applyFont="1" applyAlignment="1">
      <alignment vertical="center"/>
    </xf>
    <xf numFmtId="0" fontId="5" fillId="0" borderId="10" xfId="0" applyFont="1" applyBorder="1" applyAlignment="1">
      <alignment horizontal="center" vertical="center"/>
    </xf>
    <xf numFmtId="170" fontId="5" fillId="0" borderId="0" xfId="0" applyNumberFormat="1" applyFont="1" applyAlignment="1">
      <alignment horizontal="center" vertical="center"/>
    </xf>
    <xf numFmtId="170" fontId="3" fillId="0" borderId="10" xfId="0" applyNumberFormat="1" applyFont="1" applyBorder="1" applyAlignment="1">
      <alignment vertical="center"/>
    </xf>
    <xf numFmtId="170" fontId="3" fillId="0" borderId="15" xfId="0" applyNumberFormat="1" applyFont="1" applyBorder="1" applyAlignment="1">
      <alignment vertical="center"/>
    </xf>
    <xf numFmtId="170" fontId="3" fillId="0" borderId="0" xfId="0" applyNumberFormat="1" applyFont="1" applyAlignment="1">
      <alignment vertical="center"/>
    </xf>
    <xf numFmtId="170" fontId="3" fillId="0" borderId="0" xfId="0" applyNumberFormat="1" applyFont="1" applyAlignment="1">
      <alignment horizontal="center" vertical="center"/>
    </xf>
    <xf numFmtId="170" fontId="3" fillId="0" borderId="15" xfId="0" applyNumberFormat="1" applyFont="1" applyBorder="1" applyAlignment="1">
      <alignment horizontal="right" vertical="center"/>
    </xf>
    <xf numFmtId="170" fontId="3" fillId="0" borderId="0" xfId="0" applyNumberFormat="1" applyFont="1" applyAlignment="1">
      <alignment horizontal="right" vertical="center"/>
    </xf>
    <xf numFmtId="170" fontId="3" fillId="0" borderId="10" xfId="1" applyNumberFormat="1" applyFont="1" applyBorder="1" applyAlignment="1" applyProtection="1">
      <alignment horizontal="right" vertical="center"/>
    </xf>
    <xf numFmtId="170" fontId="3" fillId="3" borderId="10" xfId="1" applyNumberFormat="1" applyFont="1" applyFill="1" applyBorder="1" applyAlignment="1" applyProtection="1">
      <alignment horizontal="right" vertical="center"/>
      <protection locked="0"/>
    </xf>
    <xf numFmtId="170" fontId="5" fillId="7" borderId="10" xfId="1" applyNumberFormat="1" applyFont="1" applyFill="1" applyBorder="1" applyAlignment="1" applyProtection="1">
      <alignment horizontal="right" vertical="center"/>
    </xf>
    <xf numFmtId="0" fontId="3" fillId="3" borderId="10" xfId="0" applyFont="1" applyFill="1" applyBorder="1" applyAlignment="1" applyProtection="1">
      <alignment vertical="center" wrapText="1"/>
      <protection locked="0"/>
    </xf>
    <xf numFmtId="0" fontId="5" fillId="5" borderId="10" xfId="0" applyFont="1" applyFill="1" applyBorder="1" applyAlignment="1">
      <alignment horizontal="right" vertical="center" wrapText="1"/>
    </xf>
    <xf numFmtId="0" fontId="3" fillId="0" borderId="10" xfId="0" applyFont="1" applyBorder="1" applyAlignment="1">
      <alignment horizontal="right" vertical="center" wrapText="1"/>
    </xf>
    <xf numFmtId="170" fontId="5" fillId="5" borderId="10" xfId="1" applyNumberFormat="1" applyFont="1" applyFill="1" applyBorder="1" applyAlignment="1" applyProtection="1">
      <alignment horizontal="right" vertical="center"/>
    </xf>
    <xf numFmtId="0" fontId="3" fillId="3" borderId="10" xfId="0" applyFont="1" applyFill="1" applyBorder="1" applyAlignment="1" applyProtection="1">
      <alignment horizontal="right" vertical="center" wrapText="1"/>
      <protection locked="0"/>
    </xf>
    <xf numFmtId="171" fontId="5" fillId="5" borderId="10" xfId="2" applyNumberFormat="1" applyFont="1" applyFill="1" applyBorder="1" applyAlignment="1" applyProtection="1">
      <alignment horizontal="right" vertical="center" wrapText="1"/>
    </xf>
    <xf numFmtId="170" fontId="5" fillId="0" borderId="10" xfId="1" applyNumberFormat="1" applyFont="1" applyBorder="1" applyAlignment="1" applyProtection="1">
      <alignment horizontal="right" vertical="center"/>
    </xf>
    <xf numFmtId="170" fontId="5" fillId="3" borderId="10" xfId="1" applyNumberFormat="1" applyFont="1" applyFill="1" applyBorder="1" applyAlignment="1" applyProtection="1">
      <alignment horizontal="right" vertical="center"/>
      <protection locked="0"/>
    </xf>
    <xf numFmtId="170" fontId="5" fillId="0" borderId="10" xfId="0" applyNumberFormat="1" applyFont="1" applyBorder="1" applyAlignment="1">
      <alignment vertical="center"/>
    </xf>
    <xf numFmtId="0" fontId="5" fillId="0" borderId="0" xfId="0" applyFont="1" applyBorder="1" applyAlignment="1">
      <alignment horizontal="right" vertical="center" wrapText="1"/>
    </xf>
    <xf numFmtId="170" fontId="3" fillId="0" borderId="0" xfId="0" applyNumberFormat="1" applyFont="1" applyBorder="1" applyAlignment="1">
      <alignment horizontal="right" vertical="center"/>
    </xf>
    <xf numFmtId="0" fontId="11" fillId="0" borderId="10"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pplyAlignment="1">
      <alignment horizontal="right" vertical="center" wrapText="1"/>
    </xf>
    <xf numFmtId="170" fontId="5" fillId="0" borderId="0" xfId="0" applyNumberFormat="1" applyFont="1" applyBorder="1" applyAlignment="1">
      <alignment horizontal="center" vertical="center"/>
    </xf>
    <xf numFmtId="169" fontId="5" fillId="3" borderId="0" xfId="1"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3" fillId="0" borderId="10"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0" fontId="5" fillId="4" borderId="10" xfId="0" applyFont="1" applyFill="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12" fillId="0" borderId="0" xfId="5"/>
    <xf numFmtId="0" fontId="18" fillId="11" borderId="19" xfId="6" applyFont="1" applyFill="1" applyBorder="1" applyAlignment="1">
      <alignment horizontal="center"/>
    </xf>
    <xf numFmtId="0" fontId="18" fillId="0" borderId="19" xfId="7" applyFont="1" applyBorder="1" applyAlignment="1">
      <alignment horizontal="center" vertical="center" wrapText="1"/>
    </xf>
    <xf numFmtId="0" fontId="12" fillId="0" borderId="0" xfId="5" applyAlignment="1">
      <alignment wrapText="1" readingOrder="1"/>
    </xf>
    <xf numFmtId="0" fontId="19" fillId="0" borderId="0" xfId="7"/>
    <xf numFmtId="2" fontId="3" fillId="3" borderId="0" xfId="0" applyNumberFormat="1" applyFont="1" applyFill="1" applyAlignment="1" applyProtection="1">
      <alignment horizontal="center" vertical="center"/>
      <protection locked="0"/>
    </xf>
    <xf numFmtId="2" fontId="3" fillId="0" borderId="6" xfId="0" applyNumberFormat="1" applyFont="1" applyBorder="1" applyAlignment="1">
      <alignment horizontal="center" vertical="center"/>
    </xf>
    <xf numFmtId="2" fontId="3" fillId="3" borderId="6" xfId="0" applyNumberFormat="1" applyFont="1" applyFill="1" applyBorder="1" applyAlignment="1" applyProtection="1">
      <alignment horizontal="center" vertical="center"/>
      <protection locked="0"/>
    </xf>
    <xf numFmtId="2" fontId="3" fillId="0" borderId="0" xfId="0" applyNumberFormat="1" applyFont="1" applyAlignment="1">
      <alignment horizontal="center" vertical="center"/>
    </xf>
    <xf numFmtId="170" fontId="5" fillId="0" borderId="10" xfId="1" applyNumberFormat="1" applyFont="1" applyBorder="1" applyAlignment="1" applyProtection="1">
      <alignment horizontal="center" vertical="center"/>
    </xf>
    <xf numFmtId="170" fontId="5" fillId="0" borderId="10" xfId="2" applyNumberFormat="1" applyFont="1" applyBorder="1" applyAlignment="1" applyProtection="1">
      <alignment horizontal="center" vertical="center"/>
    </xf>
    <xf numFmtId="170" fontId="3" fillId="3" borderId="10" xfId="1" applyNumberFormat="1" applyFont="1" applyFill="1" applyBorder="1" applyAlignment="1" applyProtection="1">
      <alignment vertical="center"/>
      <protection locked="0"/>
    </xf>
    <xf numFmtId="0" fontId="0" fillId="0" borderId="0" xfId="0" applyAlignment="1">
      <alignment vertical="center"/>
    </xf>
    <xf numFmtId="0" fontId="3" fillId="0" borderId="0" xfId="0" applyFont="1" applyBorder="1" applyAlignment="1">
      <alignment vertical="center"/>
    </xf>
    <xf numFmtId="14" fontId="7" fillId="0" borderId="0" xfId="0" applyNumberFormat="1" applyFont="1" applyBorder="1" applyAlignment="1">
      <alignment horizontal="right" vertical="center"/>
    </xf>
    <xf numFmtId="0" fontId="7" fillId="0" borderId="0" xfId="0" applyFont="1" applyBorder="1" applyAlignment="1">
      <alignment horizontal="left" vertical="center"/>
    </xf>
    <xf numFmtId="0" fontId="3" fillId="0" borderId="0" xfId="0" applyFont="1" applyBorder="1" applyAlignment="1">
      <alignment horizontal="right" vertical="center" wrapText="1"/>
    </xf>
    <xf numFmtId="0" fontId="3" fillId="0" borderId="8" xfId="0" applyFont="1" applyBorder="1" applyAlignment="1">
      <alignment vertical="center"/>
    </xf>
    <xf numFmtId="0" fontId="3" fillId="0" borderId="9" xfId="0" applyFont="1" applyBorder="1" applyAlignment="1">
      <alignment horizontal="center" vertical="center"/>
    </xf>
    <xf numFmtId="0" fontId="7" fillId="0" borderId="0" xfId="0" applyFont="1" applyAlignment="1">
      <alignment horizontal="right" vertical="center"/>
    </xf>
    <xf numFmtId="14" fontId="7" fillId="0" borderId="0" xfId="0" applyNumberFormat="1" applyFont="1" applyAlignment="1">
      <alignment horizontal="right" vertical="center"/>
    </xf>
    <xf numFmtId="0" fontId="7" fillId="0" borderId="0" xfId="0" applyFont="1" applyAlignment="1">
      <alignment horizontal="left" vertical="center"/>
    </xf>
    <xf numFmtId="168" fontId="3" fillId="0" borderId="0" xfId="0" applyNumberFormat="1" applyFont="1" applyAlignment="1">
      <alignment horizontal="center" vertical="center"/>
    </xf>
    <xf numFmtId="168" fontId="3" fillId="0" borderId="0" xfId="3" applyNumberFormat="1" applyFont="1" applyAlignment="1" applyProtection="1">
      <alignment horizontal="center" vertical="center"/>
    </xf>
    <xf numFmtId="169" fontId="3" fillId="0" borderId="0" xfId="0" applyNumberFormat="1" applyFont="1" applyAlignment="1">
      <alignment vertical="center"/>
    </xf>
    <xf numFmtId="169" fontId="26" fillId="12" borderId="10" xfId="0" applyNumberFormat="1" applyFont="1" applyFill="1" applyBorder="1" applyAlignment="1">
      <alignment horizontal="right" vertical="center"/>
    </xf>
    <xf numFmtId="169" fontId="3" fillId="0" borderId="0" xfId="1" applyNumberFormat="1" applyFont="1" applyBorder="1" applyAlignment="1" applyProtection="1">
      <alignment vertical="center"/>
    </xf>
    <xf numFmtId="0" fontId="3" fillId="7" borderId="10"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3" fillId="5" borderId="10" xfId="0" applyFont="1" applyFill="1" applyBorder="1" applyAlignment="1" applyProtection="1">
      <alignment vertical="center"/>
      <protection locked="0"/>
    </xf>
    <xf numFmtId="0" fontId="7" fillId="3" borderId="10" xfId="0" applyFont="1" applyFill="1" applyBorder="1" applyAlignment="1" applyProtection="1">
      <alignment vertical="center"/>
      <protection locked="0"/>
    </xf>
    <xf numFmtId="170" fontId="3" fillId="0" borderId="10" xfId="1" applyNumberFormat="1" applyFont="1" applyBorder="1" applyAlignment="1" applyProtection="1">
      <alignment horizontal="center" vertical="center"/>
    </xf>
    <xf numFmtId="0" fontId="5" fillId="0" borderId="0" xfId="0" applyFont="1" applyAlignment="1" applyProtection="1">
      <alignment vertical="center" wrapText="1"/>
      <protection locked="0"/>
    </xf>
    <xf numFmtId="0" fontId="3" fillId="0" borderId="7" xfId="0" applyFont="1" applyBorder="1" applyAlignment="1">
      <alignment horizontal="right" vertical="center"/>
    </xf>
    <xf numFmtId="0" fontId="7" fillId="0" borderId="8" xfId="0" applyFont="1" applyBorder="1" applyAlignment="1">
      <alignment horizontal="left" vertical="center"/>
    </xf>
    <xf numFmtId="0" fontId="3" fillId="0" borderId="9" xfId="0" applyFont="1" applyBorder="1" applyAlignment="1">
      <alignment vertical="center"/>
    </xf>
    <xf numFmtId="168" fontId="3" fillId="0" borderId="0" xfId="0" applyNumberFormat="1" applyFont="1" applyAlignment="1">
      <alignment horizontal="right" vertical="center"/>
    </xf>
    <xf numFmtId="168" fontId="3" fillId="0" borderId="0" xfId="3" applyNumberFormat="1" applyFont="1" applyAlignment="1" applyProtection="1">
      <alignment vertical="center"/>
    </xf>
    <xf numFmtId="166" fontId="3" fillId="0" borderId="0" xfId="0" applyNumberFormat="1" applyFont="1" applyAlignment="1">
      <alignment horizontal="right" vertical="center"/>
    </xf>
    <xf numFmtId="0" fontId="3" fillId="3" borderId="0" xfId="0" applyFont="1" applyFill="1" applyAlignment="1" applyProtection="1">
      <alignment vertical="center"/>
      <protection locked="0"/>
    </xf>
    <xf numFmtId="0" fontId="3" fillId="0" borderId="15" xfId="0" applyFont="1" applyBorder="1" applyAlignment="1">
      <alignment vertical="center"/>
    </xf>
    <xf numFmtId="169" fontId="3" fillId="3" borderId="10" xfId="1" applyNumberFormat="1" applyFont="1" applyFill="1" applyBorder="1" applyAlignment="1" applyProtection="1">
      <alignment vertical="center"/>
      <protection locked="0"/>
    </xf>
    <xf numFmtId="0" fontId="5" fillId="0" borderId="18" xfId="0" applyFont="1" applyBorder="1" applyAlignment="1">
      <alignment horizontal="right" vertical="center" wrapText="1"/>
    </xf>
    <xf numFmtId="0" fontId="3" fillId="0" borderId="23" xfId="0" applyFont="1" applyBorder="1" applyAlignment="1">
      <alignment vertical="center"/>
    </xf>
    <xf numFmtId="170" fontId="3" fillId="0" borderId="23" xfId="0" applyNumberFormat="1" applyFont="1" applyBorder="1" applyAlignment="1">
      <alignment vertical="center"/>
    </xf>
    <xf numFmtId="170" fontId="3" fillId="0" borderId="23" xfId="0" applyNumberFormat="1" applyFont="1" applyBorder="1" applyAlignment="1">
      <alignment horizontal="right" vertical="center"/>
    </xf>
    <xf numFmtId="170" fontId="3" fillId="0" borderId="24" xfId="0" applyNumberFormat="1" applyFont="1" applyBorder="1" applyAlignment="1">
      <alignment horizontal="right" vertical="center"/>
    </xf>
    <xf numFmtId="170" fontId="3" fillId="0" borderId="25" xfId="0" applyNumberFormat="1" applyFont="1" applyBorder="1" applyAlignment="1">
      <alignment horizontal="right" vertical="center"/>
    </xf>
    <xf numFmtId="170" fontId="3" fillId="0" borderId="26" xfId="0" applyNumberFormat="1" applyFont="1" applyBorder="1" applyAlignment="1">
      <alignment horizontal="right"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170" fontId="5" fillId="0" borderId="23" xfId="0" applyNumberFormat="1" applyFont="1" applyBorder="1" applyAlignment="1">
      <alignment horizontal="center" vertical="center"/>
    </xf>
    <xf numFmtId="170" fontId="5" fillId="0" borderId="15" xfId="0" applyNumberFormat="1" applyFont="1" applyBorder="1" applyAlignment="1">
      <alignment horizontal="center" vertical="center"/>
    </xf>
    <xf numFmtId="170" fontId="5" fillId="0" borderId="24" xfId="0" applyNumberFormat="1" applyFont="1" applyBorder="1" applyAlignment="1">
      <alignment horizontal="center" vertical="center"/>
    </xf>
    <xf numFmtId="170" fontId="5" fillId="0" borderId="26" xfId="0" applyNumberFormat="1" applyFont="1" applyBorder="1" applyAlignment="1">
      <alignment horizontal="center" vertical="center"/>
    </xf>
    <xf numFmtId="170" fontId="26" fillId="12" borderId="10" xfId="0" applyNumberFormat="1" applyFont="1" applyFill="1" applyBorder="1" applyAlignment="1">
      <alignment horizontal="right" vertical="center"/>
    </xf>
    <xf numFmtId="3" fontId="3" fillId="3" borderId="10" xfId="1" applyNumberFormat="1" applyFont="1" applyFill="1" applyBorder="1" applyAlignment="1" applyProtection="1">
      <alignment horizontal="right" vertical="center"/>
      <protection locked="0"/>
    </xf>
    <xf numFmtId="3" fontId="5" fillId="7" borderId="10" xfId="1" applyNumberFormat="1" applyFont="1" applyFill="1" applyBorder="1" applyAlignment="1" applyProtection="1">
      <alignment horizontal="right" vertical="center"/>
    </xf>
    <xf numFmtId="3" fontId="5" fillId="5" borderId="10" xfId="1" applyNumberFormat="1" applyFont="1" applyFill="1" applyBorder="1" applyAlignment="1" applyProtection="1">
      <alignment horizontal="right" vertical="center"/>
    </xf>
    <xf numFmtId="3" fontId="5" fillId="3" borderId="10" xfId="1" applyNumberFormat="1" applyFont="1" applyFill="1" applyBorder="1" applyAlignment="1" applyProtection="1">
      <alignment horizontal="right" vertical="center"/>
      <protection locked="0"/>
    </xf>
    <xf numFmtId="3" fontId="5" fillId="0" borderId="10" xfId="0" applyNumberFormat="1" applyFont="1" applyBorder="1" applyAlignment="1">
      <alignment vertical="center"/>
    </xf>
    <xf numFmtId="3" fontId="5" fillId="0" borderId="10" xfId="0" applyNumberFormat="1" applyFont="1" applyBorder="1" applyAlignment="1">
      <alignment horizontal="right" vertical="center"/>
    </xf>
    <xf numFmtId="174" fontId="3" fillId="3" borderId="10" xfId="1" applyNumberFormat="1" applyFont="1" applyFill="1" applyBorder="1" applyAlignment="1" applyProtection="1">
      <alignment horizontal="right" vertical="center"/>
      <protection locked="0"/>
    </xf>
    <xf numFmtId="174" fontId="5" fillId="7" borderId="10" xfId="1" applyNumberFormat="1" applyFont="1" applyFill="1" applyBorder="1" applyAlignment="1" applyProtection="1">
      <alignment horizontal="right" vertical="center"/>
    </xf>
    <xf numFmtId="174" fontId="5" fillId="5" borderId="10" xfId="1" applyNumberFormat="1" applyFont="1" applyFill="1" applyBorder="1" applyAlignment="1" applyProtection="1">
      <alignment horizontal="right" vertical="center"/>
    </xf>
    <xf numFmtId="174" fontId="5" fillId="3" borderId="10" xfId="1" applyNumberFormat="1" applyFont="1" applyFill="1" applyBorder="1" applyAlignment="1" applyProtection="1">
      <alignment horizontal="right" vertical="center"/>
      <protection locked="0"/>
    </xf>
    <xf numFmtId="174" fontId="5" fillId="0" borderId="10" xfId="0" applyNumberFormat="1" applyFont="1" applyBorder="1" applyAlignment="1">
      <alignment vertical="center"/>
    </xf>
    <xf numFmtId="0" fontId="3" fillId="3" borderId="0" xfId="0" applyFont="1" applyFill="1" applyBorder="1" applyAlignment="1" applyProtection="1">
      <alignment horizontal="center" vertical="center"/>
      <protection locked="0"/>
    </xf>
    <xf numFmtId="0" fontId="5" fillId="0" borderId="0" xfId="0" applyFont="1" applyBorder="1" applyAlignment="1">
      <alignment horizontal="right" vertical="center"/>
    </xf>
    <xf numFmtId="0" fontId="3" fillId="0" borderId="0" xfId="0" applyFont="1" applyBorder="1" applyAlignment="1">
      <alignment horizontal="left" vertical="center"/>
    </xf>
    <xf numFmtId="0" fontId="5"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protection locked="0"/>
    </xf>
    <xf numFmtId="167" fontId="3" fillId="0" borderId="0" xfId="0" applyNumberFormat="1" applyFont="1" applyBorder="1" applyAlignment="1">
      <alignment horizontal="right" vertical="center"/>
    </xf>
    <xf numFmtId="0" fontId="3" fillId="0" borderId="0" xfId="0" applyFont="1" applyBorder="1" applyAlignment="1" applyProtection="1">
      <alignment horizontal="center" vertical="center"/>
      <protection locked="0"/>
    </xf>
    <xf numFmtId="0" fontId="3" fillId="0" borderId="8" xfId="0" applyFont="1" applyBorder="1" applyAlignment="1">
      <alignment horizontal="right" vertical="center"/>
    </xf>
    <xf numFmtId="0" fontId="3" fillId="0" borderId="10" xfId="0" applyFont="1" applyBorder="1" applyAlignment="1">
      <alignment horizontal="center" vertical="center"/>
    </xf>
    <xf numFmtId="0" fontId="5" fillId="0" borderId="0" xfId="0" applyFont="1" applyAlignment="1">
      <alignment horizontal="left" vertical="center" wrapText="1"/>
    </xf>
    <xf numFmtId="169" fontId="5" fillId="3" borderId="0" xfId="1" applyNumberFormat="1" applyFont="1" applyFill="1" applyBorder="1" applyAlignment="1" applyProtection="1">
      <alignment horizontal="left" vertical="center" wrapText="1"/>
      <protection locked="0"/>
    </xf>
    <xf numFmtId="173" fontId="18" fillId="11" borderId="19" xfId="6" applyNumberFormat="1" applyFont="1" applyFill="1" applyBorder="1" applyAlignment="1">
      <alignment horizontal="center"/>
    </xf>
    <xf numFmtId="0" fontId="18" fillId="11" borderId="19" xfId="6" applyFont="1" applyFill="1" applyBorder="1" applyAlignment="1">
      <alignment horizontal="center"/>
    </xf>
    <xf numFmtId="173" fontId="18" fillId="0" borderId="19" xfId="7" applyNumberFormat="1" applyFont="1" applyBorder="1" applyAlignment="1">
      <alignment horizontal="center" vertical="center" wrapText="1"/>
    </xf>
    <xf numFmtId="173" fontId="18" fillId="0" borderId="19" xfId="7" applyNumberFormat="1"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0" fontId="3" fillId="0" borderId="10"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69" fontId="5" fillId="3" borderId="0" xfId="1" applyNumberFormat="1" applyFont="1" applyFill="1" applyBorder="1" applyAlignment="1" applyProtection="1">
      <alignment horizontal="left" vertical="center"/>
      <protection locked="0"/>
    </xf>
    <xf numFmtId="0" fontId="5" fillId="6" borderId="10" xfId="0" applyFont="1" applyFill="1" applyBorder="1" applyAlignment="1">
      <alignment horizontal="center" vertical="center"/>
    </xf>
    <xf numFmtId="0" fontId="3" fillId="0" borderId="10" xfId="0" applyFont="1" applyBorder="1" applyAlignment="1">
      <alignment horizontal="center" vertical="center" wrapText="1"/>
    </xf>
    <xf numFmtId="0" fontId="7" fillId="3" borderId="10"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64" fontId="7" fillId="0" borderId="10" xfId="1" applyFont="1" applyBorder="1" applyAlignment="1" applyProtection="1">
      <alignment horizontal="center" vertical="center" wrapText="1"/>
      <protection locked="0"/>
    </xf>
    <xf numFmtId="164" fontId="3" fillId="7" borderId="10" xfId="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4" borderId="10" xfId="0" applyFont="1" applyFill="1" applyBorder="1" applyAlignment="1">
      <alignment horizontal="left" vertical="center"/>
    </xf>
    <xf numFmtId="0" fontId="5" fillId="0" borderId="18" xfId="0" applyFont="1" applyBorder="1" applyAlignment="1">
      <alignment horizontal="right" vertical="center" wrapText="1"/>
    </xf>
    <xf numFmtId="0" fontId="5" fillId="0" borderId="0" xfId="0" applyFont="1" applyAlignment="1">
      <alignment horizontal="right" vertical="center" wrapText="1"/>
    </xf>
    <xf numFmtId="0" fontId="5" fillId="3" borderId="18"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8" fillId="0" borderId="0" xfId="0" applyFont="1" applyAlignment="1">
      <alignment horizontal="left" vertical="center" wrapText="1"/>
    </xf>
    <xf numFmtId="0" fontId="5" fillId="8" borderId="10" xfId="0" applyFont="1" applyFill="1" applyBorder="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164" fontId="7" fillId="0" borderId="10" xfId="1" applyFont="1" applyBorder="1" applyAlignment="1" applyProtection="1">
      <alignment horizontal="left" vertical="center" wrapText="1"/>
      <protection locked="0"/>
    </xf>
    <xf numFmtId="0" fontId="3" fillId="9" borderId="20"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22" xfId="0" applyFont="1" applyFill="1" applyBorder="1" applyAlignment="1">
      <alignment horizontal="center" vertical="center"/>
    </xf>
    <xf numFmtId="0" fontId="3" fillId="0" borderId="0" xfId="0" applyFont="1" applyAlignment="1">
      <alignment horizontal="center" vertical="center"/>
    </xf>
    <xf numFmtId="0" fontId="5" fillId="9" borderId="10"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7"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70" fontId="3" fillId="0" borderId="28" xfId="0" applyNumberFormat="1" applyFont="1" applyBorder="1" applyAlignment="1">
      <alignment horizontal="right" vertical="center"/>
    </xf>
    <xf numFmtId="170" fontId="5" fillId="0" borderId="28" xfId="0" applyNumberFormat="1" applyFont="1" applyBorder="1" applyAlignment="1">
      <alignment horizontal="center" vertical="center"/>
    </xf>
    <xf numFmtId="0" fontId="10" fillId="5" borderId="16" xfId="0" applyFont="1" applyFill="1" applyBorder="1" applyAlignment="1">
      <alignment horizontal="right" vertical="center"/>
    </xf>
    <xf numFmtId="0" fontId="10" fillId="0" borderId="16" xfId="0" applyFont="1" applyBorder="1" applyAlignment="1">
      <alignment horizontal="right" vertical="center"/>
    </xf>
    <xf numFmtId="0" fontId="3" fillId="0" borderId="16" xfId="0" applyFont="1" applyBorder="1" applyAlignment="1">
      <alignment horizontal="right" vertical="center"/>
    </xf>
    <xf numFmtId="0" fontId="10" fillId="0" borderId="16" xfId="0" applyFont="1" applyBorder="1" applyAlignment="1">
      <alignment horizontal="right" vertical="center" wrapText="1"/>
    </xf>
    <xf numFmtId="0" fontId="5" fillId="10" borderId="29" xfId="0" applyFont="1" applyFill="1" applyBorder="1" applyAlignment="1">
      <alignment horizontal="center" vertical="center"/>
    </xf>
    <xf numFmtId="0" fontId="5" fillId="10" borderId="30" xfId="0" applyFont="1" applyFill="1" applyBorder="1" applyAlignment="1">
      <alignment horizontal="center" vertical="center"/>
    </xf>
    <xf numFmtId="0" fontId="5" fillId="10" borderId="31" xfId="0" applyFont="1" applyFill="1" applyBorder="1" applyAlignment="1">
      <alignment horizontal="center" vertical="center"/>
    </xf>
    <xf numFmtId="0" fontId="5" fillId="10" borderId="32" xfId="0" applyFont="1" applyFill="1" applyBorder="1" applyAlignment="1">
      <alignment horizontal="center" vertical="center"/>
    </xf>
    <xf numFmtId="0" fontId="5" fillId="10" borderId="33" xfId="0" applyFont="1" applyFill="1" applyBorder="1" applyAlignment="1">
      <alignment horizontal="center" vertical="center"/>
    </xf>
    <xf numFmtId="0" fontId="10" fillId="5" borderId="10" xfId="0" applyFont="1" applyFill="1" applyBorder="1" applyAlignment="1">
      <alignment horizontal="right" vertical="center" wrapText="1"/>
    </xf>
    <xf numFmtId="49" fontId="21" fillId="13" borderId="0" xfId="5" applyNumberFormat="1" applyFont="1" applyFill="1" applyAlignment="1">
      <alignment horizontal="center" vertical="center" readingOrder="1"/>
    </xf>
    <xf numFmtId="0" fontId="23" fillId="0" borderId="0" xfId="5" applyFont="1" applyAlignment="1">
      <alignment vertical="top" wrapText="1"/>
    </xf>
    <xf numFmtId="0" fontId="5" fillId="13" borderId="0" xfId="0" applyFont="1" applyFill="1" applyAlignment="1">
      <alignment horizontal="left" vertical="center" wrapText="1"/>
    </xf>
    <xf numFmtId="173" fontId="18" fillId="13" borderId="0" xfId="7" applyNumberFormat="1" applyFont="1" applyFill="1" applyBorder="1" applyAlignment="1">
      <alignment horizontal="center" vertical="center" wrapText="1"/>
    </xf>
    <xf numFmtId="0" fontId="18" fillId="13" borderId="0" xfId="7" applyFont="1" applyFill="1" applyBorder="1" applyAlignment="1">
      <alignment horizontal="center" vertical="center" wrapText="1"/>
    </xf>
    <xf numFmtId="173" fontId="18" fillId="13" borderId="0" xfId="7" applyNumberFormat="1" applyFont="1" applyFill="1" applyBorder="1" applyAlignment="1">
      <alignment vertical="center" wrapText="1"/>
    </xf>
    <xf numFmtId="173" fontId="18" fillId="13" borderId="0" xfId="7" applyNumberFormat="1" applyFont="1" applyFill="1" applyAlignment="1">
      <alignment horizontal="center" vertical="center" wrapText="1"/>
    </xf>
    <xf numFmtId="0" fontId="18" fillId="13" borderId="0" xfId="7" applyFont="1" applyFill="1" applyAlignment="1">
      <alignment horizontal="center" vertical="center" wrapText="1"/>
    </xf>
    <xf numFmtId="173" fontId="18" fillId="13" borderId="0" xfId="7" applyNumberFormat="1" applyFont="1" applyFill="1" applyAlignment="1">
      <alignment vertical="center" wrapText="1"/>
    </xf>
    <xf numFmtId="49" fontId="20" fillId="13" borderId="0" xfId="5" applyNumberFormat="1" applyFont="1" applyFill="1" applyBorder="1" applyAlignment="1">
      <alignment horizontal="center" vertical="center" readingOrder="1"/>
    </xf>
    <xf numFmtId="49" fontId="21" fillId="13" borderId="0" xfId="5" applyNumberFormat="1" applyFont="1" applyFill="1" applyAlignment="1">
      <alignment horizontal="center" vertical="center" wrapText="1" readingOrder="1"/>
    </xf>
    <xf numFmtId="0" fontId="23" fillId="13" borderId="0" xfId="5" applyFont="1" applyFill="1" applyAlignment="1">
      <alignment horizontal="justify" vertical="center" wrapText="1"/>
    </xf>
    <xf numFmtId="0" fontId="23" fillId="13" borderId="0" xfId="5" applyFont="1" applyFill="1" applyAlignment="1">
      <alignment horizontal="left" vertical="center"/>
    </xf>
    <xf numFmtId="0" fontId="23" fillId="13" borderId="0" xfId="5" applyFont="1" applyFill="1" applyAlignment="1">
      <alignment horizontal="left" vertical="top" wrapText="1"/>
    </xf>
    <xf numFmtId="0" fontId="23" fillId="13" borderId="0" xfId="5" applyFont="1" applyFill="1" applyAlignment="1">
      <alignment vertical="center" wrapText="1"/>
    </xf>
    <xf numFmtId="0" fontId="23" fillId="13" borderId="0" xfId="5" applyFont="1" applyFill="1" applyAlignment="1">
      <alignment horizontal="justify" vertical="center" wrapText="1"/>
    </xf>
    <xf numFmtId="0" fontId="24" fillId="13" borderId="0" xfId="5" applyFont="1" applyFill="1" applyBorder="1" applyAlignment="1">
      <alignment horizontal="left" vertical="top" wrapText="1"/>
    </xf>
    <xf numFmtId="0" fontId="11" fillId="13" borderId="0" xfId="5" applyFont="1" applyFill="1" applyBorder="1" applyAlignment="1">
      <alignment horizontal="left" vertical="top" wrapText="1"/>
    </xf>
    <xf numFmtId="0" fontId="5" fillId="13" borderId="0" xfId="0" applyFont="1" applyFill="1" applyAlignment="1">
      <alignment vertical="center" wrapText="1"/>
    </xf>
    <xf numFmtId="0" fontId="12" fillId="13" borderId="0" xfId="5" applyFill="1" applyAlignment="1">
      <alignment horizontal="justify" wrapText="1"/>
    </xf>
    <xf numFmtId="0" fontId="23" fillId="13" borderId="0" xfId="5" applyFont="1" applyFill="1" applyAlignment="1">
      <alignment horizontal="left" vertical="top" wrapText="1"/>
    </xf>
    <xf numFmtId="49" fontId="22" fillId="13" borderId="0" xfId="5" applyNumberFormat="1" applyFont="1" applyFill="1" applyAlignment="1">
      <alignment horizontal="left" vertical="top" readingOrder="1"/>
    </xf>
    <xf numFmtId="49" fontId="29" fillId="13" borderId="0" xfId="5" applyNumberFormat="1" applyFont="1" applyFill="1" applyAlignment="1">
      <alignment horizontal="left" vertical="top" readingOrder="1"/>
    </xf>
    <xf numFmtId="49" fontId="13" fillId="13" borderId="0" xfId="5" applyNumberFormat="1" applyFont="1" applyFill="1" applyBorder="1" applyAlignment="1">
      <alignment horizontal="center" vertical="center" wrapText="1" readingOrder="1"/>
    </xf>
    <xf numFmtId="0" fontId="13" fillId="13" borderId="0" xfId="5" applyFont="1" applyFill="1" applyBorder="1" applyAlignment="1">
      <alignment horizontal="right" vertical="center" wrapText="1" readingOrder="1"/>
    </xf>
    <xf numFmtId="173" fontId="13" fillId="13" borderId="0" xfId="5" applyNumberFormat="1" applyFont="1" applyFill="1" applyBorder="1" applyAlignment="1">
      <alignment horizontal="left" vertical="center" wrapText="1" readingOrder="1"/>
    </xf>
    <xf numFmtId="49" fontId="14" fillId="13" borderId="0" xfId="5" applyNumberFormat="1" applyFont="1" applyFill="1" applyAlignment="1">
      <alignment horizontal="right" vertical="center" wrapText="1" readingOrder="1"/>
    </xf>
    <xf numFmtId="49" fontId="14" fillId="13" borderId="0" xfId="5" applyNumberFormat="1" applyFont="1" applyFill="1" applyAlignment="1">
      <alignment horizontal="left" vertical="center" wrapText="1" readingOrder="1"/>
    </xf>
    <xf numFmtId="49" fontId="16" fillId="13" borderId="0" xfId="5" applyNumberFormat="1" applyFont="1" applyFill="1" applyAlignment="1">
      <alignment horizontal="left" vertical="center" wrapText="1" readingOrder="1"/>
    </xf>
    <xf numFmtId="49" fontId="16" fillId="13" borderId="0" xfId="5" applyNumberFormat="1" applyFont="1" applyFill="1" applyAlignment="1">
      <alignment horizontal="right" vertical="center" wrapText="1" readingOrder="1"/>
    </xf>
    <xf numFmtId="49" fontId="22" fillId="13" borderId="0" xfId="5" applyNumberFormat="1" applyFont="1" applyFill="1" applyAlignment="1">
      <alignment horizontal="left" vertical="center" readingOrder="1"/>
    </xf>
    <xf numFmtId="0" fontId="12" fillId="0" borderId="0" xfId="5"/>
    <xf numFmtId="49" fontId="15" fillId="13" borderId="0" xfId="5" applyNumberFormat="1" applyFont="1" applyFill="1" applyAlignment="1">
      <alignment horizontal="left" vertical="center" readingOrder="1"/>
    </xf>
    <xf numFmtId="0" fontId="12" fillId="0" borderId="0" xfId="5"/>
    <xf numFmtId="49" fontId="22" fillId="0" borderId="0" xfId="5" applyNumberFormat="1" applyFont="1" applyAlignment="1">
      <alignment horizontal="left" vertical="center" readingOrder="1"/>
    </xf>
    <xf numFmtId="0" fontId="12" fillId="0" borderId="0" xfId="5" applyAlignment="1">
      <alignment horizontal="justify" wrapText="1"/>
    </xf>
  </cellXfs>
  <cellStyles count="98">
    <cellStyle name="base - cadre - retour ligne" xfId="11"/>
    <cellStyle name="Catégorie de la table dynamique" xfId="12"/>
    <cellStyle name="cf1" xfId="4"/>
    <cellStyle name="Champ de la table dynamique" xfId="13"/>
    <cellStyle name="Coin de la table dynamique" xfId="14"/>
    <cellStyle name="Euro" xfId="15"/>
    <cellStyle name="Euro 2" xfId="16"/>
    <cellStyle name="Lien hypertexte 2" xfId="95"/>
    <cellStyle name="Milliers" xfId="1" builtinId="3"/>
    <cellStyle name="Milliers [0] 2" xfId="37"/>
    <cellStyle name="Milliers 10" xfId="17"/>
    <cellStyle name="Milliers 11" xfId="18"/>
    <cellStyle name="Milliers 12" xfId="19"/>
    <cellStyle name="Milliers 12 2" xfId="20"/>
    <cellStyle name="Milliers 13" xfId="21"/>
    <cellStyle name="Milliers 14" xfId="9"/>
    <cellStyle name="Milliers 15" xfId="96"/>
    <cellStyle name="Milliers 16" xfId="97"/>
    <cellStyle name="Milliers 2" xfId="22"/>
    <cellStyle name="Milliers 2 2" xfId="23"/>
    <cellStyle name="Milliers 2 2 2" xfId="24"/>
    <cellStyle name="Milliers 2 2 3" xfId="25"/>
    <cellStyle name="Milliers 2 2 4" xfId="26"/>
    <cellStyle name="Milliers 2 3" xfId="27"/>
    <cellStyle name="Milliers 2 4" xfId="28"/>
    <cellStyle name="Milliers 3" xfId="29"/>
    <cellStyle name="Milliers 3 2" xfId="30"/>
    <cellStyle name="Milliers 4" xfId="31"/>
    <cellStyle name="Milliers 5" xfId="32"/>
    <cellStyle name="Milliers 6" xfId="33"/>
    <cellStyle name="Milliers 7" xfId="34"/>
    <cellStyle name="Milliers 8" xfId="35"/>
    <cellStyle name="Milliers 9" xfId="36"/>
    <cellStyle name="Monétaire" xfId="2" builtinId="4"/>
    <cellStyle name="Monétaire 2" xfId="38"/>
    <cellStyle name="Monétaire 2 2" xfId="39"/>
    <cellStyle name="Monétaire 2 2 2" xfId="40"/>
    <cellStyle name="Monétaire 2 2 3" xfId="41"/>
    <cellStyle name="Monétaire 2 3" xfId="42"/>
    <cellStyle name="Monétaire 3" xfId="43"/>
    <cellStyle name="Normal" xfId="0" builtinId="0"/>
    <cellStyle name="Normal 10" xfId="94"/>
    <cellStyle name="Normal 2" xfId="7"/>
    <cellStyle name="Normal 2 2" xfId="45"/>
    <cellStyle name="Normal 2 3" xfId="46"/>
    <cellStyle name="Normal 2 4" xfId="47"/>
    <cellStyle name="Normal 2 5" xfId="48"/>
    <cellStyle name="Normal 2 6" xfId="44"/>
    <cellStyle name="Normal 3" xfId="8"/>
    <cellStyle name="Normal 3 2" xfId="5"/>
    <cellStyle name="Normal 3 2 2" xfId="50"/>
    <cellStyle name="Normal 3 2 3" xfId="51"/>
    <cellStyle name="Normal 3 3" xfId="52"/>
    <cellStyle name="Normal 3 3 2" xfId="53"/>
    <cellStyle name="Normal 3 4" xfId="54"/>
    <cellStyle name="Normal 3 5" xfId="49"/>
    <cellStyle name="Normal 4" xfId="55"/>
    <cellStyle name="Normal 4 2" xfId="56"/>
    <cellStyle name="Normal 5" xfId="57"/>
    <cellStyle name="Normal 5 2" xfId="6"/>
    <cellStyle name="Normal 5 2 2" xfId="58"/>
    <cellStyle name="Normal 5 3" xfId="59"/>
    <cellStyle name="Normal 6" xfId="60"/>
    <cellStyle name="Normal 7" xfId="61"/>
    <cellStyle name="Normal 7 2" xfId="62"/>
    <cellStyle name="Normal 8" xfId="63"/>
    <cellStyle name="Normal 9" xfId="64"/>
    <cellStyle name="Pilote de données - Catégorie" xfId="65"/>
    <cellStyle name="Pilote de données - Champ" xfId="66"/>
    <cellStyle name="Pilote de données - Coin" xfId="67"/>
    <cellStyle name="Pilote de données - Résultat" xfId="68"/>
    <cellStyle name="Pilote de données - Titre" xfId="69"/>
    <cellStyle name="Pilote de données - Valeur" xfId="70"/>
    <cellStyle name="Pourcentage" xfId="3" builtinId="5"/>
    <cellStyle name="Pourcentage 2" xfId="71"/>
    <cellStyle name="Pourcentage 2 2" xfId="72"/>
    <cellStyle name="Pourcentage 2 2 2" xfId="73"/>
    <cellStyle name="Pourcentage 2 2 3" xfId="74"/>
    <cellStyle name="Pourcentage 2 3" xfId="75"/>
    <cellStyle name="Pourcentage 2 4" xfId="76"/>
    <cellStyle name="Pourcentage 2 5" xfId="77"/>
    <cellStyle name="Pourcentage 2 6" xfId="78"/>
    <cellStyle name="Pourcentage 3" xfId="79"/>
    <cellStyle name="Pourcentage 3 2" xfId="80"/>
    <cellStyle name="Pourcentage 4" xfId="81"/>
    <cellStyle name="Pourcentage 4 2" xfId="82"/>
    <cellStyle name="Pourcentage 5" xfId="83"/>
    <cellStyle name="Pourcentage 5 2" xfId="84"/>
    <cellStyle name="Pourcentage 6" xfId="85"/>
    <cellStyle name="Pourcentage 7" xfId="86"/>
    <cellStyle name="Pourcentage 8" xfId="10"/>
    <cellStyle name="Résultat de la table dynamique" xfId="87"/>
    <cellStyle name="Sans nom1" xfId="88"/>
    <cellStyle name="Sans nom2" xfId="89"/>
    <cellStyle name="TableStyleLight1" xfId="90"/>
    <cellStyle name="Texte explicatif 2" xfId="91"/>
    <cellStyle name="Titre de la table dynamique" xfId="92"/>
    <cellStyle name="Valeur de la table dynamique" xfId="93"/>
  </cellStyles>
  <dxfs count="4">
    <dxf>
      <font>
        <sz val="10"/>
        <color rgb="FF9C0006"/>
        <name val="바탕"/>
      </font>
      <numFmt numFmtId="0" formatCode="General"/>
      <fill>
        <patternFill>
          <bgColor rgb="FFFFFFFF"/>
        </patternFill>
      </fill>
    </dxf>
    <dxf>
      <font>
        <sz val="10"/>
        <color rgb="FF9C0006"/>
        <name val="바탕"/>
      </font>
      <numFmt numFmtId="0" formatCode="General"/>
      <fill>
        <patternFill>
          <bgColor rgb="FFFFFFFF"/>
        </patternFill>
      </fill>
    </dxf>
    <dxf>
      <font>
        <sz val="10"/>
        <color rgb="FF9C0006"/>
        <name val="바탕"/>
      </font>
      <numFmt numFmtId="0" formatCode="General"/>
      <fill>
        <patternFill>
          <bgColor rgb="FFFFFFFF"/>
        </patternFill>
      </fill>
    </dxf>
    <dxf>
      <font>
        <sz val="10"/>
        <color rgb="FF9C0006"/>
        <name val="바탕"/>
      </font>
      <numFmt numFmtId="0" formatCode="General"/>
      <fill>
        <patternFill>
          <bgColor rgb="FFFFFFFF"/>
        </patternFill>
      </fill>
    </dxf>
  </dxfs>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9C0006"/>
      <rgbColor rgb="FF008000"/>
      <rgbColor rgb="FF000080"/>
      <rgbColor rgb="FF808000"/>
      <rgbColor rgb="FF800080"/>
      <rgbColor rgb="FF008080"/>
      <rgbColor rgb="FFB4C7DC"/>
      <rgbColor rgb="FF808080"/>
      <rgbColor rgb="FF9999FF"/>
      <rgbColor rgb="FF993366"/>
      <rgbColor rgb="FFFFFFCC"/>
      <rgbColor rgb="FFF2F2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4EA6B"/>
      <rgbColor rgb="FFE8F2A1"/>
      <rgbColor rgb="FF99CCFF"/>
      <rgbColor rgb="FFFF99CC"/>
      <rgbColor rgb="FFCC99FF"/>
      <rgbColor rgb="FFFFB66C"/>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FPSR\2.%20ANRU\2_outils_pour_instruction_ANRU\02_NPNRU\02_FAT_NPNRU_v4_voir_maj_Anruscope\FAT-21-NPNRU-IO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1-Règles"/>
      <sheetName val="2-Saisie FAT"/>
      <sheetName val="3-Transfert IODA"/>
      <sheetName val="3-Fiche opération"/>
      <sheetName val="4-Transfert Agora (TF)"/>
      <sheetName val="5-Transfert contrat"/>
      <sheetName val="6-Transfert Agora (DAS-DAP)"/>
      <sheetName val="7-Relogement"/>
      <sheetName val="8-Calcul avancement réalisation"/>
      <sheetName val="9-Liste pièces justificatives"/>
      <sheetName val="LISTES"/>
      <sheetName val="Liste_QPV"/>
      <sheetName val="Liste_MO"/>
      <sheetName val="Liste_contrats"/>
      <sheetName val="suivi des rectificatifs"/>
      <sheetName val="Liste_communes"/>
      <sheetName val="4-Transfert IO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Date de version</v>
          </cell>
          <cell r="B2" t="str">
            <v>N° version</v>
          </cell>
          <cell r="C2" t="str">
            <v>Mise à jour réalisée</v>
          </cell>
          <cell r="D2" t="str">
            <v>Onglet concerné</v>
          </cell>
        </row>
        <row r="24">
          <cell r="A24">
            <v>44222</v>
          </cell>
          <cell r="B24" t="str">
            <v>4.1.1</v>
          </cell>
        </row>
      </sheetData>
      <sheetData sheetId="16"/>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6"/>
  <sheetViews>
    <sheetView tabSelected="1" zoomScale="110" zoomScaleNormal="110" workbookViewId="0">
      <selection activeCell="D35" sqref="D35"/>
    </sheetView>
  </sheetViews>
  <sheetFormatPr baseColWidth="10" defaultColWidth="11.42578125" defaultRowHeight="15"/>
  <cols>
    <col min="1" max="1" width="11.42578125" style="101"/>
    <col min="2" max="5" width="11.42578125" style="98"/>
    <col min="6" max="6" width="15.85546875" style="98" customWidth="1"/>
    <col min="7" max="261" width="11.42578125" style="98"/>
    <col min="262" max="262" width="15.85546875" style="98" customWidth="1"/>
    <col min="263" max="517" width="11.42578125" style="98"/>
    <col min="518" max="518" width="15.85546875" style="98" customWidth="1"/>
    <col min="519" max="773" width="11.42578125" style="98"/>
    <col min="774" max="774" width="15.85546875" style="98" customWidth="1"/>
    <col min="775" max="1024" width="11.42578125" style="98"/>
    <col min="1025" max="16384" width="11.42578125" style="102"/>
  </cols>
  <sheetData>
    <row r="1" spans="1:10" ht="15" customHeight="1">
      <c r="A1" s="255" t="s">
        <v>169</v>
      </c>
      <c r="B1" s="255"/>
      <c r="C1" s="255"/>
      <c r="D1" s="255"/>
      <c r="E1" s="255"/>
      <c r="F1" s="255"/>
      <c r="G1" s="255"/>
      <c r="H1" s="255"/>
      <c r="I1" s="255"/>
      <c r="J1" s="255"/>
    </row>
    <row r="2" spans="1:10">
      <c r="A2" s="256" t="str">
        <f>"Version N°"&amp;C7 &amp;" du :"</f>
        <v>Version N°2 du :</v>
      </c>
      <c r="B2" s="256"/>
      <c r="C2" s="256"/>
      <c r="D2" s="256"/>
      <c r="E2" s="256"/>
      <c r="F2" s="257">
        <f>A7</f>
        <v>45149</v>
      </c>
      <c r="G2" s="257"/>
      <c r="H2" s="257"/>
      <c r="I2" s="257"/>
      <c r="J2" s="257"/>
    </row>
    <row r="3" spans="1:10">
      <c r="A3" s="258"/>
      <c r="B3" s="258"/>
      <c r="C3" s="258"/>
      <c r="D3" s="258"/>
      <c r="E3" s="258"/>
      <c r="F3" s="259"/>
      <c r="G3" s="259"/>
      <c r="H3" s="259"/>
      <c r="I3" s="259"/>
      <c r="J3" s="259"/>
    </row>
    <row r="4" spans="1:10">
      <c r="A4" s="264" t="s">
        <v>170</v>
      </c>
      <c r="B4" s="261"/>
      <c r="C4" s="261"/>
      <c r="D4" s="261"/>
      <c r="E4" s="261"/>
      <c r="F4" s="260"/>
      <c r="G4" s="260"/>
      <c r="H4" s="260"/>
      <c r="I4" s="260"/>
      <c r="J4" s="260"/>
    </row>
    <row r="5" spans="1:10">
      <c r="A5" s="176" t="str">
        <f>'[1]suivi des rectificatifs'!A2</f>
        <v>Date de version</v>
      </c>
      <c r="B5" s="176"/>
      <c r="C5" s="99" t="str">
        <f>'[1]suivi des rectificatifs'!B2</f>
        <v>N° version</v>
      </c>
      <c r="D5" s="177" t="str">
        <f>'[1]suivi des rectificatifs'!C2</f>
        <v>Mise à jour réalisée</v>
      </c>
      <c r="E5" s="177"/>
      <c r="F5" s="177"/>
      <c r="G5" s="177" t="str">
        <f>'[1]suivi des rectificatifs'!D2</f>
        <v>Onglet concerné</v>
      </c>
      <c r="H5" s="177"/>
      <c r="I5" s="177"/>
      <c r="J5" s="177"/>
    </row>
    <row r="6" spans="1:10" ht="27.75" customHeight="1">
      <c r="A6" s="178">
        <v>44711</v>
      </c>
      <c r="B6" s="178"/>
      <c r="C6" s="100">
        <v>1</v>
      </c>
      <c r="D6" s="178" t="s">
        <v>173</v>
      </c>
      <c r="E6" s="178"/>
      <c r="F6" s="178"/>
      <c r="G6" s="179"/>
      <c r="H6" s="179"/>
      <c r="I6" s="179"/>
      <c r="J6" s="179"/>
    </row>
    <row r="7" spans="1:10" s="98" customFormat="1" ht="36" customHeight="1">
      <c r="A7" s="178">
        <v>45149</v>
      </c>
      <c r="B7" s="178"/>
      <c r="C7" s="100">
        <v>2</v>
      </c>
      <c r="D7" s="178" t="s">
        <v>177</v>
      </c>
      <c r="E7" s="178"/>
      <c r="F7" s="178"/>
      <c r="G7" s="179" t="s">
        <v>178</v>
      </c>
      <c r="H7" s="179"/>
      <c r="I7" s="179"/>
      <c r="J7" s="179"/>
    </row>
    <row r="8" spans="1:10" s="98" customFormat="1" ht="36" customHeight="1">
      <c r="A8" s="235"/>
      <c r="B8" s="235"/>
      <c r="C8" s="236"/>
      <c r="D8" s="235"/>
      <c r="E8" s="235"/>
      <c r="F8" s="235"/>
      <c r="G8" s="237"/>
      <c r="H8" s="237"/>
      <c r="I8" s="237"/>
      <c r="J8" s="237"/>
    </row>
    <row r="9" spans="1:10" s="98" customFormat="1" ht="12.75">
      <c r="A9" s="238"/>
      <c r="B9" s="238"/>
      <c r="C9" s="239"/>
      <c r="D9" s="238"/>
      <c r="E9" s="238"/>
      <c r="F9" s="238"/>
      <c r="G9" s="240"/>
      <c r="H9" s="240"/>
      <c r="I9" s="240"/>
      <c r="J9" s="240"/>
    </row>
    <row r="10" spans="1:10" s="98" customFormat="1" ht="14.25">
      <c r="A10" s="241" t="s">
        <v>171</v>
      </c>
      <c r="B10" s="241"/>
      <c r="C10" s="241"/>
      <c r="D10" s="241"/>
      <c r="E10" s="241"/>
      <c r="F10" s="241"/>
      <c r="G10" s="241"/>
      <c r="H10" s="241"/>
      <c r="I10" s="241"/>
      <c r="J10" s="241"/>
    </row>
    <row r="11" spans="1:10" s="98" customFormat="1" ht="14.25">
      <c r="A11" s="242"/>
      <c r="B11" s="232"/>
      <c r="C11" s="232"/>
      <c r="D11" s="232"/>
      <c r="E11" s="232"/>
      <c r="F11" s="232"/>
      <c r="G11" s="232"/>
      <c r="H11" s="232"/>
      <c r="I11" s="232"/>
      <c r="J11" s="232"/>
    </row>
    <row r="12" spans="1:10" s="98" customFormat="1" ht="14.25" customHeight="1">
      <c r="A12" s="262" t="s">
        <v>172</v>
      </c>
      <c r="B12" s="232"/>
      <c r="C12" s="232"/>
      <c r="D12" s="232"/>
      <c r="E12" s="232"/>
      <c r="F12" s="232"/>
      <c r="G12" s="232"/>
      <c r="H12" s="232"/>
      <c r="I12" s="232"/>
      <c r="J12" s="232"/>
    </row>
    <row r="13" spans="1:10" s="98" customFormat="1" ht="14.25" customHeight="1">
      <c r="A13" s="243" t="s">
        <v>179</v>
      </c>
      <c r="B13" s="243"/>
      <c r="C13" s="243"/>
      <c r="D13" s="243"/>
      <c r="E13" s="243"/>
      <c r="F13" s="243"/>
      <c r="G13" s="243"/>
      <c r="H13" s="243"/>
      <c r="I13" s="243"/>
      <c r="J13" s="243"/>
    </row>
    <row r="14" spans="1:10" s="98" customFormat="1" ht="14.25">
      <c r="A14" s="244" t="s">
        <v>180</v>
      </c>
      <c r="B14" s="244"/>
      <c r="C14" s="244"/>
      <c r="D14" s="244"/>
      <c r="E14" s="244"/>
      <c r="F14" s="244"/>
      <c r="G14" s="244"/>
      <c r="H14" s="244"/>
      <c r="I14" s="244"/>
      <c r="J14" s="244"/>
    </row>
    <row r="15" spans="1:10" s="98" customFormat="1" ht="14.25">
      <c r="A15" s="245" t="s">
        <v>186</v>
      </c>
      <c r="B15" s="245"/>
      <c r="C15" s="245"/>
      <c r="D15" s="245"/>
      <c r="E15" s="245"/>
      <c r="F15" s="245"/>
      <c r="G15" s="245"/>
      <c r="H15" s="245"/>
      <c r="I15" s="246"/>
      <c r="J15" s="246"/>
    </row>
    <row r="16" spans="1:10" s="263" customFormat="1" ht="14.25">
      <c r="A16" s="247"/>
      <c r="B16" s="247"/>
      <c r="C16" s="247"/>
      <c r="D16" s="247"/>
      <c r="E16" s="247"/>
      <c r="F16" s="247"/>
      <c r="G16" s="247"/>
      <c r="H16" s="247"/>
      <c r="I16" s="247"/>
      <c r="J16" s="247"/>
    </row>
    <row r="17" spans="1:10" s="98" customFormat="1" ht="24" customHeight="1">
      <c r="A17" s="248" t="s">
        <v>185</v>
      </c>
      <c r="B17" s="249"/>
      <c r="C17" s="249"/>
      <c r="D17" s="249"/>
      <c r="E17" s="249"/>
      <c r="F17" s="249"/>
      <c r="G17" s="249"/>
      <c r="H17" s="249"/>
      <c r="I17" s="249"/>
      <c r="J17" s="249"/>
    </row>
    <row r="18" spans="1:10" s="265" customFormat="1" ht="14.25">
      <c r="A18" s="245" t="s">
        <v>183</v>
      </c>
      <c r="B18" s="245"/>
      <c r="C18" s="245"/>
      <c r="D18" s="245"/>
      <c r="E18" s="245"/>
      <c r="F18" s="245"/>
      <c r="G18" s="245"/>
      <c r="H18" s="245"/>
      <c r="I18" s="245"/>
      <c r="J18" s="245"/>
    </row>
    <row r="19" spans="1:10" s="98" customFormat="1" ht="16.5" customHeight="1">
      <c r="A19" s="245" t="s">
        <v>184</v>
      </c>
      <c r="B19" s="245"/>
      <c r="C19" s="245"/>
      <c r="D19" s="245"/>
      <c r="E19" s="245"/>
      <c r="F19" s="245"/>
      <c r="G19" s="245"/>
      <c r="H19" s="245"/>
      <c r="I19" s="245"/>
      <c r="J19" s="245"/>
    </row>
    <row r="20" spans="1:10" s="98" customFormat="1" ht="15.75" customHeight="1">
      <c r="A20" s="250"/>
      <c r="B20" s="250"/>
      <c r="C20" s="250"/>
      <c r="D20" s="250"/>
      <c r="E20" s="250"/>
      <c r="F20" s="250"/>
      <c r="G20" s="250"/>
      <c r="H20" s="250"/>
      <c r="I20" s="250"/>
      <c r="J20" s="250"/>
    </row>
    <row r="21" spans="1:10" s="98" customFormat="1" ht="14.25">
      <c r="A21" s="262"/>
      <c r="B21" s="251"/>
      <c r="C21" s="251"/>
      <c r="D21" s="251"/>
      <c r="E21" s="251"/>
      <c r="F21" s="251"/>
      <c r="G21" s="251"/>
      <c r="H21" s="251"/>
      <c r="I21" s="251"/>
      <c r="J21" s="251"/>
    </row>
    <row r="22" spans="1:10" s="98" customFormat="1" ht="14.25">
      <c r="A22" s="262" t="s">
        <v>181</v>
      </c>
      <c r="B22" s="251"/>
      <c r="C22" s="251"/>
      <c r="D22" s="251"/>
      <c r="E22" s="251"/>
      <c r="F22" s="251"/>
      <c r="G22" s="251"/>
      <c r="H22" s="251"/>
      <c r="I22" s="251"/>
      <c r="J22" s="251"/>
    </row>
    <row r="23" spans="1:10" s="98" customFormat="1" ht="34.5" customHeight="1">
      <c r="A23" s="245" t="s">
        <v>182</v>
      </c>
      <c r="B23" s="245"/>
      <c r="C23" s="245"/>
      <c r="D23" s="245"/>
      <c r="E23" s="245"/>
      <c r="F23" s="245"/>
      <c r="G23" s="245"/>
      <c r="H23" s="245"/>
      <c r="I23" s="245"/>
      <c r="J23" s="245"/>
    </row>
    <row r="24" spans="1:10" s="265" customFormat="1" ht="14.25">
      <c r="A24" s="252"/>
      <c r="B24" s="252"/>
      <c r="C24" s="252"/>
      <c r="D24" s="252"/>
      <c r="E24" s="252"/>
      <c r="F24" s="252"/>
      <c r="G24" s="252"/>
      <c r="H24" s="252"/>
      <c r="I24" s="252"/>
      <c r="J24" s="252"/>
    </row>
    <row r="25" spans="1:10" s="265" customFormat="1" ht="14.25">
      <c r="A25" s="252"/>
      <c r="B25" s="252"/>
      <c r="C25" s="252"/>
      <c r="D25" s="252"/>
      <c r="E25" s="252"/>
      <c r="F25" s="252"/>
      <c r="G25" s="252"/>
      <c r="H25" s="252"/>
      <c r="I25" s="252"/>
      <c r="J25" s="252"/>
    </row>
    <row r="26" spans="1:10" s="265" customFormat="1" ht="22.5" customHeight="1">
      <c r="A26" s="253" t="s">
        <v>0</v>
      </c>
      <c r="B26" s="254"/>
      <c r="C26" s="254"/>
      <c r="D26" s="254"/>
      <c r="E26" s="254"/>
      <c r="F26" s="254"/>
      <c r="G26" s="254"/>
      <c r="H26" s="254"/>
      <c r="I26" s="254"/>
      <c r="J26" s="254"/>
    </row>
    <row r="27" spans="1:10" s="98" customFormat="1" ht="46.5" customHeight="1">
      <c r="A27" s="175" t="s">
        <v>187</v>
      </c>
      <c r="B27" s="175"/>
      <c r="C27" s="175"/>
      <c r="D27" s="175"/>
      <c r="E27" s="175"/>
      <c r="F27" s="175"/>
      <c r="G27" s="175"/>
      <c r="H27" s="175"/>
      <c r="I27" s="175"/>
      <c r="J27" s="175"/>
    </row>
    <row r="28" spans="1:10" s="98" customFormat="1" ht="15.75">
      <c r="A28" s="234" t="s">
        <v>188</v>
      </c>
      <c r="B28" s="234"/>
      <c r="C28" s="234"/>
      <c r="D28" s="234"/>
      <c r="E28" s="234"/>
      <c r="F28" s="234"/>
      <c r="G28" s="234"/>
      <c r="H28" s="234"/>
      <c r="I28" s="234"/>
      <c r="J28" s="234"/>
    </row>
    <row r="29" spans="1:10" s="98" customFormat="1" ht="15.75">
      <c r="A29" s="234" t="s">
        <v>189</v>
      </c>
      <c r="B29" s="234"/>
      <c r="C29" s="234"/>
      <c r="D29" s="234"/>
      <c r="E29" s="234"/>
      <c r="F29" s="234"/>
      <c r="G29" s="234"/>
      <c r="H29" s="234"/>
      <c r="I29" s="234"/>
      <c r="J29" s="234"/>
    </row>
    <row r="30" spans="1:10" s="98" customFormat="1" ht="51.75" customHeight="1">
      <c r="A30" s="234" t="s">
        <v>190</v>
      </c>
      <c r="B30" s="234"/>
      <c r="C30" s="234"/>
      <c r="D30" s="234"/>
      <c r="E30" s="234"/>
      <c r="F30" s="234"/>
      <c r="G30" s="234"/>
      <c r="H30" s="234"/>
      <c r="I30" s="234"/>
      <c r="J30" s="234"/>
    </row>
    <row r="31" spans="1:10" s="98" customFormat="1" ht="49.5" customHeight="1">
      <c r="A31" s="234" t="s">
        <v>191</v>
      </c>
      <c r="B31" s="234"/>
      <c r="C31" s="234"/>
      <c r="D31" s="234"/>
      <c r="E31" s="234"/>
      <c r="F31" s="234"/>
      <c r="G31" s="234"/>
      <c r="H31" s="234"/>
      <c r="I31" s="234"/>
      <c r="J31" s="234"/>
    </row>
    <row r="32" spans="1:10" s="98" customFormat="1" ht="12.75"/>
    <row r="35" spans="1:10">
      <c r="A35" s="266"/>
      <c r="B35" s="267"/>
      <c r="C35" s="267"/>
      <c r="D35" s="267"/>
      <c r="E35" s="267"/>
      <c r="F35" s="267"/>
      <c r="G35" s="267"/>
      <c r="H35" s="267"/>
      <c r="I35" s="267"/>
      <c r="J35" s="267"/>
    </row>
    <row r="36" spans="1:10" ht="34.5" customHeight="1">
      <c r="A36" s="233"/>
      <c r="B36" s="233"/>
      <c r="C36" s="233"/>
      <c r="D36" s="233"/>
      <c r="E36" s="233"/>
      <c r="F36" s="233"/>
      <c r="G36" s="233"/>
      <c r="H36" s="233"/>
      <c r="I36" s="233"/>
      <c r="J36" s="233"/>
    </row>
  </sheetData>
  <sheetProtection formatCells="0" formatColumns="0" formatRows="0" sort="0" autoFilter="0" pivotTables="0"/>
  <mergeCells count="25">
    <mergeCell ref="A15:H15"/>
    <mergeCell ref="A18:J18"/>
    <mergeCell ref="A23:J23"/>
    <mergeCell ref="A29:J29"/>
    <mergeCell ref="A30:J30"/>
    <mergeCell ref="A31:J31"/>
    <mergeCell ref="A1:J1"/>
    <mergeCell ref="A2:E2"/>
    <mergeCell ref="F2:J2"/>
    <mergeCell ref="A5:B5"/>
    <mergeCell ref="D5:F5"/>
    <mergeCell ref="G5:J5"/>
    <mergeCell ref="A7:B7"/>
    <mergeCell ref="D7:F7"/>
    <mergeCell ref="G7:J7"/>
    <mergeCell ref="A6:B6"/>
    <mergeCell ref="D6:F6"/>
    <mergeCell ref="G6:J6"/>
    <mergeCell ref="A28:J28"/>
    <mergeCell ref="A10:J10"/>
    <mergeCell ref="A17:J17"/>
    <mergeCell ref="A27:J27"/>
    <mergeCell ref="A13:J13"/>
    <mergeCell ref="A14:J14"/>
    <mergeCell ref="A19:J19"/>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7"/>
  <sheetViews>
    <sheetView topLeftCell="A9" zoomScale="70" zoomScaleNormal="70" zoomScaleSheetLayoutView="85" zoomScalePageLayoutView="30" workbookViewId="0">
      <pane xSplit="1" ySplit="15" topLeftCell="B24" activePane="bottomRight" state="frozen"/>
      <selection activeCell="A9" sqref="A9"/>
      <selection pane="topRight" activeCell="B9" sqref="B9"/>
      <selection pane="bottomLeft" activeCell="A24" sqref="A24"/>
      <selection pane="bottomRight" activeCell="D42" sqref="D42"/>
    </sheetView>
  </sheetViews>
  <sheetFormatPr baseColWidth="10" defaultColWidth="10.85546875" defaultRowHeight="15"/>
  <cols>
    <col min="1" max="1" width="47" style="2" customWidth="1"/>
    <col min="2" max="2" width="27.28515625" style="2" customWidth="1"/>
    <col min="3" max="3" width="30.42578125" style="2" customWidth="1"/>
    <col min="4" max="4" width="29" style="2" customWidth="1"/>
    <col min="5" max="5" width="21" style="2" customWidth="1"/>
    <col min="6" max="6" width="16.140625" style="2" customWidth="1"/>
    <col min="7" max="7" width="20.140625" style="2" customWidth="1"/>
    <col min="8" max="8" width="17.85546875" style="2" customWidth="1"/>
    <col min="9" max="9" width="35.28515625" style="2" customWidth="1"/>
    <col min="10" max="10" width="20.5703125" style="2" customWidth="1"/>
    <col min="11" max="11" width="18.140625" style="2" customWidth="1"/>
    <col min="12" max="12" width="20.85546875" style="2" customWidth="1"/>
    <col min="13" max="13" width="21.85546875" style="2" customWidth="1"/>
    <col min="14" max="14" width="18.140625" style="2" customWidth="1"/>
    <col min="15" max="15" width="19.85546875" style="2" customWidth="1"/>
    <col min="16" max="16" width="17.85546875" style="2" customWidth="1"/>
    <col min="17" max="17" width="19.28515625" style="2" customWidth="1"/>
    <col min="18" max="19" width="15.85546875" style="2" customWidth="1"/>
    <col min="20" max="22" width="5.42578125" style="2" customWidth="1"/>
    <col min="23" max="30" width="10.85546875" style="2"/>
    <col min="31" max="31" width="20.140625" style="2" customWidth="1"/>
    <col min="32" max="32" width="23.42578125" style="2" customWidth="1"/>
    <col min="33" max="33" width="16.42578125" style="2" customWidth="1"/>
    <col min="34" max="34" width="24.28515625" style="2" customWidth="1"/>
    <col min="35" max="1024" width="10.85546875" style="2"/>
    <col min="1025" max="16384" width="10.85546875" style="110"/>
  </cols>
  <sheetData>
    <row r="1" spans="1:34" s="2" customFormat="1" ht="15.75" hidden="1">
      <c r="A1" s="1" t="s">
        <v>0</v>
      </c>
    </row>
    <row r="2" spans="1:34" s="2" customFormat="1" ht="15.75" hidden="1">
      <c r="A2" s="185" t="s">
        <v>1</v>
      </c>
      <c r="B2" s="185"/>
      <c r="C2" s="185"/>
      <c r="D2" s="185"/>
      <c r="E2" s="185"/>
      <c r="F2" s="185"/>
      <c r="G2" s="185"/>
      <c r="H2" s="185"/>
      <c r="I2" s="185"/>
      <c r="J2" s="185"/>
    </row>
    <row r="3" spans="1:34" s="2" customFormat="1" ht="15.75" hidden="1">
      <c r="A3" s="181" t="s">
        <v>2</v>
      </c>
      <c r="B3" s="181"/>
      <c r="C3" s="181"/>
      <c r="D3" s="181"/>
      <c r="E3" s="181"/>
      <c r="F3" s="181"/>
      <c r="G3" s="181"/>
      <c r="H3" s="181"/>
      <c r="I3" s="181"/>
      <c r="J3" s="181"/>
    </row>
    <row r="4" spans="1:34" s="2" customFormat="1" ht="15.75" hidden="1">
      <c r="A4" s="181" t="s">
        <v>3</v>
      </c>
      <c r="B4" s="181"/>
      <c r="C4" s="181"/>
      <c r="D4" s="181"/>
      <c r="E4" s="181"/>
      <c r="F4" s="181"/>
      <c r="G4" s="181"/>
      <c r="H4" s="181"/>
      <c r="I4" s="181"/>
      <c r="J4" s="181"/>
    </row>
    <row r="5" spans="1:34" s="2" customFormat="1" ht="15.75" hidden="1">
      <c r="A5" s="181" t="s">
        <v>4</v>
      </c>
      <c r="B5" s="181"/>
      <c r="C5" s="181"/>
      <c r="D5" s="181"/>
      <c r="E5" s="181"/>
      <c r="F5" s="181"/>
      <c r="G5" s="181"/>
      <c r="H5" s="181"/>
      <c r="I5" s="181"/>
      <c r="J5" s="181"/>
    </row>
    <row r="6" spans="1:34" s="2" customFormat="1" ht="37.5" hidden="1" customHeight="1">
      <c r="A6" s="174" t="s">
        <v>5</v>
      </c>
      <c r="B6" s="174"/>
      <c r="C6" s="174"/>
      <c r="D6" s="174"/>
      <c r="E6" s="174"/>
      <c r="F6" s="174"/>
      <c r="G6" s="174"/>
      <c r="H6" s="174"/>
      <c r="I6" s="174"/>
      <c r="J6" s="174"/>
      <c r="K6" s="91"/>
      <c r="L6" s="91"/>
    </row>
    <row r="7" spans="1:34" s="2" customFormat="1" ht="15.75" hidden="1">
      <c r="A7" s="181" t="s">
        <v>6</v>
      </c>
      <c r="B7" s="181"/>
      <c r="C7" s="181"/>
      <c r="D7" s="181"/>
      <c r="E7" s="181"/>
      <c r="F7" s="181"/>
      <c r="G7" s="181"/>
      <c r="H7" s="181"/>
      <c r="I7" s="181"/>
      <c r="J7" s="181"/>
    </row>
    <row r="8" spans="1:34" s="2" customFormat="1" ht="15.75" hidden="1" thickBot="1"/>
    <row r="9" spans="1:34" s="2" customFormat="1" ht="32.25" customHeight="1" thickBot="1">
      <c r="A9" s="193" t="s">
        <v>150</v>
      </c>
      <c r="B9" s="193"/>
      <c r="C9" s="193"/>
      <c r="D9" s="193"/>
      <c r="E9" s="193"/>
      <c r="F9" s="193"/>
      <c r="G9" s="193"/>
      <c r="H9" s="193"/>
      <c r="I9" s="193"/>
      <c r="J9" s="193"/>
    </row>
    <row r="10" spans="1:34" s="2" customFormat="1" ht="16.5" thickBot="1">
      <c r="A10" s="1"/>
    </row>
    <row r="11" spans="1:34" s="2" customFormat="1" ht="27.95" customHeight="1">
      <c r="A11" s="194" t="s">
        <v>8</v>
      </c>
      <c r="B11" s="194"/>
      <c r="C11" s="194"/>
      <c r="D11" s="194"/>
      <c r="E11" s="194"/>
      <c r="F11" s="194"/>
      <c r="G11" s="194"/>
      <c r="H11" s="194"/>
      <c r="I11" s="194"/>
      <c r="J11" s="3"/>
      <c r="K11" s="3"/>
    </row>
    <row r="12" spans="1:34" s="2" customFormat="1">
      <c r="A12" s="4" t="s">
        <v>9</v>
      </c>
      <c r="B12" s="5" t="s">
        <v>151</v>
      </c>
      <c r="C12" s="59"/>
      <c r="D12" s="59"/>
      <c r="E12" s="59"/>
      <c r="F12" s="59"/>
      <c r="G12" s="6"/>
      <c r="H12" s="6"/>
      <c r="I12" s="7"/>
      <c r="AF12" s="2" t="s">
        <v>11</v>
      </c>
      <c r="AG12" s="2" t="s">
        <v>12</v>
      </c>
      <c r="AH12" s="2" t="s">
        <v>161</v>
      </c>
    </row>
    <row r="13" spans="1:34" s="2" customFormat="1">
      <c r="A13" s="8" t="s">
        <v>13</v>
      </c>
      <c r="B13" s="9" t="s">
        <v>152</v>
      </c>
      <c r="C13" s="96"/>
      <c r="D13" s="10"/>
      <c r="I13" s="11"/>
      <c r="AE13" s="2" t="s">
        <v>14</v>
      </c>
      <c r="AF13" s="2">
        <f>$I$18/$I$16</f>
        <v>0.31233283803863299</v>
      </c>
      <c r="AG13" s="2">
        <f>($I$18)/($I$17+$I$18)</f>
        <v>0.4166446429515302</v>
      </c>
      <c r="AH13" s="2">
        <f>$I$19/$I$16</f>
        <v>3.3382862803368003E-2</v>
      </c>
    </row>
    <row r="14" spans="1:34" s="2" customFormat="1">
      <c r="A14" s="8" t="s">
        <v>15</v>
      </c>
      <c r="B14" s="9" t="s">
        <v>153</v>
      </c>
      <c r="C14" s="96"/>
      <c r="D14" s="96"/>
      <c r="E14" s="96"/>
      <c r="F14" s="96"/>
      <c r="I14" s="11"/>
      <c r="AE14" s="2" t="s">
        <v>16</v>
      </c>
      <c r="AF14" s="2">
        <f>$E$18/$E$16</f>
        <v>0.31297647179697935</v>
      </c>
      <c r="AG14" s="2">
        <f>($E$18)/($E$17+$E$18)</f>
        <v>0.41718480374702127</v>
      </c>
      <c r="AH14" s="2">
        <f>$E$19/$E$16</f>
        <v>3.3371005856364946E-2</v>
      </c>
    </row>
    <row r="15" spans="1:34" s="2" customFormat="1" ht="15.75">
      <c r="A15" s="12" t="s">
        <v>17</v>
      </c>
      <c r="B15" s="13" t="s">
        <v>18</v>
      </c>
      <c r="C15" s="96"/>
      <c r="D15" s="96"/>
      <c r="E15" s="14"/>
      <c r="F15" s="96"/>
      <c r="H15" s="96"/>
      <c r="I15" s="11"/>
      <c r="AF15" s="2" t="s">
        <v>19</v>
      </c>
    </row>
    <row r="16" spans="1:34" s="2" customFormat="1">
      <c r="A16" s="8" t="s">
        <v>20</v>
      </c>
      <c r="B16" s="96">
        <f>SUM(B17:B20)-B19</f>
        <v>84</v>
      </c>
      <c r="D16" s="10" t="s">
        <v>21</v>
      </c>
      <c r="E16" s="106">
        <f>ROUND(SUM(E17:E18)+E20,2)</f>
        <v>4866.5</v>
      </c>
      <c r="H16" s="10" t="s">
        <v>22</v>
      </c>
      <c r="I16" s="104">
        <f>ROUND(SUM(I17:I18)+I20,2)</f>
        <v>5047.5</v>
      </c>
      <c r="AE16" s="2" t="s">
        <v>14</v>
      </c>
      <c r="AF16" s="2">
        <f>$I$20/$I$16</f>
        <v>0.25036156513125313</v>
      </c>
    </row>
    <row r="17" spans="1:38" s="2" customFormat="1">
      <c r="A17" s="8" t="s">
        <v>23</v>
      </c>
      <c r="B17" s="15">
        <v>34</v>
      </c>
      <c r="D17" s="10" t="s">
        <v>24</v>
      </c>
      <c r="E17" s="103">
        <v>2127.8000000000002</v>
      </c>
      <c r="H17" s="10" t="s">
        <v>25</v>
      </c>
      <c r="I17" s="105">
        <v>2207.3000000000002</v>
      </c>
      <c r="AE17" s="2" t="s">
        <v>16</v>
      </c>
      <c r="AF17" s="2">
        <f>$E$20/$E$16</f>
        <v>0.24978937634850507</v>
      </c>
    </row>
    <row r="18" spans="1:38">
      <c r="A18" s="8" t="s">
        <v>26</v>
      </c>
      <c r="B18" s="15">
        <v>25</v>
      </c>
      <c r="D18" s="10" t="s">
        <v>27</v>
      </c>
      <c r="E18" s="103">
        <v>1523.1</v>
      </c>
      <c r="H18" s="16" t="s">
        <v>28</v>
      </c>
      <c r="I18" s="105">
        <v>1576.5</v>
      </c>
    </row>
    <row r="19" spans="1:38">
      <c r="A19" s="8" t="s">
        <v>29</v>
      </c>
      <c r="B19" s="15">
        <v>3</v>
      </c>
      <c r="D19" s="10" t="s">
        <v>30</v>
      </c>
      <c r="E19" s="103">
        <v>162.4</v>
      </c>
      <c r="H19" s="16" t="s">
        <v>31</v>
      </c>
      <c r="I19" s="105">
        <v>168.5</v>
      </c>
      <c r="AF19" s="2" t="s">
        <v>32</v>
      </c>
    </row>
    <row r="20" spans="1:38">
      <c r="A20" s="8" t="s">
        <v>33</v>
      </c>
      <c r="B20" s="15">
        <v>25</v>
      </c>
      <c r="D20" s="10" t="s">
        <v>34</v>
      </c>
      <c r="E20" s="103">
        <v>1215.5999999999999</v>
      </c>
      <c r="H20" s="10" t="s">
        <v>35</v>
      </c>
      <c r="I20" s="105">
        <v>1263.7</v>
      </c>
      <c r="AE20" s="2" t="s">
        <v>14</v>
      </c>
      <c r="AF20" s="2">
        <f>$I$17/$I$16</f>
        <v>0.43730559683011394</v>
      </c>
    </row>
    <row r="21" spans="1:38">
      <c r="A21" s="111"/>
      <c r="B21" s="111"/>
      <c r="C21" s="111"/>
      <c r="E21" s="112"/>
      <c r="F21" s="113"/>
      <c r="G21" s="111"/>
      <c r="H21" s="111"/>
      <c r="I21" s="11"/>
      <c r="AE21" s="2" t="s">
        <v>16</v>
      </c>
      <c r="AF21" s="2">
        <f>$E$17/$E$16</f>
        <v>0.43723415185451558</v>
      </c>
    </row>
    <row r="22" spans="1:38" ht="30">
      <c r="A22" s="114" t="s">
        <v>168</v>
      </c>
      <c r="B22" s="87"/>
      <c r="C22" s="111"/>
      <c r="D22" s="88" t="s">
        <v>36</v>
      </c>
      <c r="E22" s="87"/>
      <c r="F22" s="113"/>
      <c r="G22" s="111"/>
      <c r="H22" s="111"/>
      <c r="I22" s="11"/>
    </row>
    <row r="23" spans="1:38" ht="15.75" thickBot="1">
      <c r="A23" s="115"/>
      <c r="B23" s="115"/>
      <c r="C23" s="115"/>
      <c r="D23" s="115"/>
      <c r="E23" s="115"/>
      <c r="F23" s="115"/>
      <c r="G23" s="115"/>
      <c r="H23" s="115"/>
      <c r="I23" s="116"/>
    </row>
    <row r="24" spans="1:38">
      <c r="A24" s="111"/>
      <c r="B24" s="111"/>
      <c r="C24" s="111"/>
      <c r="D24" s="111"/>
      <c r="E24" s="111"/>
      <c r="F24" s="111"/>
      <c r="G24" s="111"/>
      <c r="H24" s="111"/>
      <c r="I24" s="20"/>
    </row>
    <row r="25" spans="1:38" ht="16.5" customHeight="1">
      <c r="A25" s="14" t="s">
        <v>37</v>
      </c>
      <c r="B25" s="120">
        <v>5.5E-2</v>
      </c>
    </row>
    <row r="26" spans="1:38" ht="16.5" customHeight="1">
      <c r="A26" s="14" t="s">
        <v>38</v>
      </c>
      <c r="B26" s="121">
        <f>IF(OR(B15="Construction neuve",B15="VEFA"),10%,5.5%)</f>
        <v>0.1</v>
      </c>
      <c r="AE26" s="2" t="str">
        <f>IF(B15="Acquisition-amélioration","","Autres")</f>
        <v>Autres</v>
      </c>
    </row>
    <row r="27" spans="1:38" ht="16.5" customHeight="1">
      <c r="A27" s="14" t="s">
        <v>39</v>
      </c>
      <c r="B27" s="120">
        <v>0.1</v>
      </c>
      <c r="AE27" s="2" t="str">
        <f>IF(B15="Acquisition-amélioration","","Reconstitution NPNRU")</f>
        <v>Reconstitution NPNRU</v>
      </c>
    </row>
    <row r="28" spans="1:38" ht="16.5" customHeight="1">
      <c r="AE28" s="2" t="str">
        <f>IF(B15="Acquisition-amélioration","","Opération mixte où les PLUS/PLAI financés par l'ANRU représentant au moins 50% de l'ensemble des PLUS-PLAI de l'opération")</f>
        <v>Opération mixte où les PLUS/PLAI financés par l'ANRU représentant au moins 50% de l'ensemble des PLUS-PLAI de l'opération</v>
      </c>
    </row>
    <row r="29" spans="1:38" ht="22.5" customHeight="1">
      <c r="A29" s="195" t="s">
        <v>40</v>
      </c>
      <c r="B29" s="195"/>
      <c r="C29" s="195"/>
      <c r="D29" s="195"/>
      <c r="E29" s="195"/>
      <c r="F29" s="195"/>
      <c r="G29" s="195"/>
      <c r="H29" s="195"/>
      <c r="I29" s="195"/>
      <c r="J29" s="195"/>
      <c r="K29" s="195"/>
      <c r="L29" s="195"/>
      <c r="M29" s="195"/>
      <c r="N29" s="195"/>
      <c r="O29" s="195"/>
      <c r="P29" s="195"/>
      <c r="Q29" s="195"/>
      <c r="R29" s="195"/>
      <c r="S29" s="17"/>
      <c r="T29" s="17"/>
      <c r="U29" s="17"/>
      <c r="V29" s="17"/>
      <c r="W29" s="17"/>
      <c r="X29" s="17"/>
      <c r="Y29" s="17"/>
      <c r="AE29" s="2" t="s">
        <v>41</v>
      </c>
      <c r="AK29" s="17"/>
    </row>
    <row r="30" spans="1:38" ht="16.5" customHeight="1">
      <c r="A30" s="196" t="s">
        <v>167</v>
      </c>
      <c r="B30" s="198" t="s">
        <v>16</v>
      </c>
      <c r="AL30" s="2" t="e">
        <f>+S30:AL32P31A31:AL30</f>
        <v>#NAME?</v>
      </c>
    </row>
    <row r="31" spans="1:38" ht="16.5" customHeight="1">
      <c r="A31" s="197"/>
      <c r="B31" s="199"/>
    </row>
    <row r="32" spans="1:38" ht="16.5" customHeight="1">
      <c r="A32" s="18"/>
    </row>
    <row r="33" spans="1:22" s="2" customFormat="1" ht="21" customHeight="1">
      <c r="A33" s="18"/>
      <c r="B33" s="95" t="s">
        <v>42</v>
      </c>
      <c r="E33" s="95" t="s">
        <v>43</v>
      </c>
      <c r="I33" s="95" t="s">
        <v>44</v>
      </c>
      <c r="M33" s="95" t="s">
        <v>45</v>
      </c>
      <c r="Q33" s="95" t="s">
        <v>46</v>
      </c>
    </row>
    <row r="34" spans="1:22" ht="16.5" customHeight="1">
      <c r="A34" s="19"/>
      <c r="B34" s="97" t="s">
        <v>47</v>
      </c>
      <c r="C34" s="97" t="s">
        <v>48</v>
      </c>
      <c r="D34" s="20"/>
      <c r="E34" s="61" t="s">
        <v>49</v>
      </c>
      <c r="F34" s="61" t="s">
        <v>50</v>
      </c>
      <c r="G34" s="61" t="s">
        <v>51</v>
      </c>
      <c r="I34" s="61" t="s">
        <v>52</v>
      </c>
      <c r="J34" s="61" t="s">
        <v>53</v>
      </c>
      <c r="K34" s="61" t="s">
        <v>54</v>
      </c>
      <c r="M34" s="61" t="s">
        <v>55</v>
      </c>
      <c r="N34" s="61" t="s">
        <v>56</v>
      </c>
      <c r="O34" s="61" t="s">
        <v>57</v>
      </c>
      <c r="Q34" s="61" t="s">
        <v>58</v>
      </c>
      <c r="R34" s="61" t="s">
        <v>59</v>
      </c>
      <c r="S34" s="61" t="s">
        <v>60</v>
      </c>
    </row>
    <row r="35" spans="1:22" ht="16.5" customHeight="1">
      <c r="A35" s="21" t="s">
        <v>61</v>
      </c>
      <c r="B35" s="53">
        <v>5565125</v>
      </c>
      <c r="C35" s="107">
        <f>ROUND(O35+S35,0)</f>
        <v>6043258</v>
      </c>
      <c r="D35" s="22"/>
      <c r="E35" s="63">
        <f>ROUND(B35*IF($B$30="Surface utile",$AF$13,$AF$14),0)</f>
        <v>1741753</v>
      </c>
      <c r="F35" s="63">
        <f>ROUND(E35*$B$25,0)</f>
        <v>95796</v>
      </c>
      <c r="G35" s="63">
        <f>ROUND(E35+F35,0)</f>
        <v>1837549</v>
      </c>
      <c r="H35" s="122"/>
      <c r="I35" s="63">
        <f>ROUND(B35*IF($B$30="Surface utile",$AF$20,$AF$21),0)</f>
        <v>2433263</v>
      </c>
      <c r="J35" s="63">
        <f>ROUND(I35*$B$26,0)</f>
        <v>243326</v>
      </c>
      <c r="K35" s="63">
        <f>ROUND(I35+J35,0)</f>
        <v>2676589</v>
      </c>
      <c r="L35" s="122"/>
      <c r="M35" s="63">
        <f>E35+I35</f>
        <v>4175016</v>
      </c>
      <c r="N35" s="63">
        <f>F35+J35</f>
        <v>339122</v>
      </c>
      <c r="O35" s="63">
        <f>ROUND(M35+N35,0)</f>
        <v>4514138</v>
      </c>
      <c r="P35" s="122"/>
      <c r="Q35" s="63">
        <f>ROUND(B35*IF($B$30="Surface utile",$AF$16,$AF$17),0)</f>
        <v>1390109</v>
      </c>
      <c r="R35" s="63">
        <f>ROUND(Q35*$B$27,0)</f>
        <v>139011</v>
      </c>
      <c r="S35" s="63">
        <f>ROUND(Q35+R35,0)</f>
        <v>1529120</v>
      </c>
    </row>
    <row r="36" spans="1:22" ht="16.5" customHeight="1">
      <c r="A36" s="29" t="s">
        <v>62</v>
      </c>
      <c r="B36" s="53"/>
      <c r="C36" s="107"/>
      <c r="D36" s="22"/>
      <c r="E36" s="63"/>
      <c r="F36" s="63"/>
      <c r="G36" s="63"/>
      <c r="H36" s="122"/>
      <c r="I36" s="63"/>
      <c r="J36" s="63"/>
      <c r="K36" s="63"/>
      <c r="L36" s="122"/>
      <c r="M36" s="63"/>
      <c r="N36" s="63"/>
      <c r="O36" s="63"/>
      <c r="P36" s="23"/>
      <c r="Q36" s="63"/>
      <c r="R36" s="63"/>
      <c r="S36" s="63"/>
      <c r="T36" s="17"/>
      <c r="U36" s="17"/>
      <c r="V36" s="17"/>
    </row>
    <row r="37" spans="1:22" ht="16.5" customHeight="1">
      <c r="A37" s="21" t="s">
        <v>63</v>
      </c>
      <c r="B37" s="53">
        <v>10117536</v>
      </c>
      <c r="C37" s="107">
        <f>ROUND(O37+S37,0)</f>
        <v>10986794</v>
      </c>
      <c r="D37" s="22"/>
      <c r="E37" s="63">
        <f>ROUND(B37*IF($B$30="Surface utile",$AF$13,$AF$14),0)</f>
        <v>3166551</v>
      </c>
      <c r="F37" s="63">
        <f>ROUND(E37*$B$25,0)</f>
        <v>174160</v>
      </c>
      <c r="G37" s="63">
        <f>ROUND(E37+F37,0)</f>
        <v>3340711</v>
      </c>
      <c r="H37" s="122"/>
      <c r="I37" s="63">
        <f>ROUND(B37*IF($B$30="Surface utile",$AF$20,$AF$21),0)</f>
        <v>4423732</v>
      </c>
      <c r="J37" s="63">
        <f>ROUND(I37*$B$26,0)</f>
        <v>442373</v>
      </c>
      <c r="K37" s="63">
        <f>ROUND(I37+J37,0)</f>
        <v>4866105</v>
      </c>
      <c r="L37" s="122"/>
      <c r="M37" s="63">
        <f>E37+I37</f>
        <v>7590283</v>
      </c>
      <c r="N37" s="63">
        <f>F37+J37</f>
        <v>616533</v>
      </c>
      <c r="O37" s="63">
        <f>ROUND(M37+N37,0)</f>
        <v>8206816</v>
      </c>
      <c r="P37" s="23"/>
      <c r="Q37" s="63">
        <f>ROUND(B37*IF($B$30="Surface utile",$AF$16,$AF$17),0)</f>
        <v>2527253</v>
      </c>
      <c r="R37" s="63">
        <f>ROUND(Q37*$B$27,0)</f>
        <v>252725</v>
      </c>
      <c r="S37" s="63">
        <f>ROUND(Q37+R37,0)</f>
        <v>2779978</v>
      </c>
      <c r="T37" s="17"/>
      <c r="U37" s="17"/>
      <c r="V37" s="17"/>
    </row>
    <row r="38" spans="1:22" ht="16.5" customHeight="1">
      <c r="A38" s="21" t="s">
        <v>64</v>
      </c>
      <c r="B38" s="53"/>
      <c r="C38" s="107">
        <f>ROUND(O38+S38,0)</f>
        <v>0</v>
      </c>
      <c r="D38" s="22"/>
      <c r="E38" s="63">
        <f>ROUND(B38*IF($B$30="Surface utile",$AF$13,$AF$14),0)</f>
        <v>0</v>
      </c>
      <c r="F38" s="63">
        <f>ROUND(E38*$B$25,0)</f>
        <v>0</v>
      </c>
      <c r="G38" s="63">
        <f>ROUND(E38+F38,0)</f>
        <v>0</v>
      </c>
      <c r="H38" s="122"/>
      <c r="I38" s="63">
        <f>ROUND(B38*IF($B$30="Surface utile",$AF$20,$AF$21),0)</f>
        <v>0</v>
      </c>
      <c r="J38" s="63">
        <f>ROUND(I38*$B$26,0)</f>
        <v>0</v>
      </c>
      <c r="K38" s="63">
        <f>ROUND(I38+J38,0)</f>
        <v>0</v>
      </c>
      <c r="L38" s="122"/>
      <c r="M38" s="63">
        <f>E38+I38</f>
        <v>0</v>
      </c>
      <c r="N38" s="63">
        <f>F38+J38</f>
        <v>0</v>
      </c>
      <c r="O38" s="63">
        <f>ROUND(M38+N38,0)</f>
        <v>0</v>
      </c>
      <c r="P38" s="122"/>
      <c r="Q38" s="63">
        <f>ROUND(B38*IF($B$30="Surface utile",$AF$16,$AF$17),0)</f>
        <v>0</v>
      </c>
      <c r="R38" s="63">
        <f>ROUND(Q38*$B$27,0)</f>
        <v>0</v>
      </c>
      <c r="S38" s="63">
        <f>ROUND(Q38+R38,0)</f>
        <v>0</v>
      </c>
    </row>
    <row r="39" spans="1:22" s="96" customFormat="1" ht="24.95" customHeight="1">
      <c r="A39" s="24" t="s">
        <v>65</v>
      </c>
      <c r="B39" s="108">
        <f>B35+B37+B38</f>
        <v>15682661</v>
      </c>
      <c r="C39" s="108">
        <f>C35+C37+C38</f>
        <v>17030052</v>
      </c>
      <c r="D39" s="25"/>
      <c r="E39" s="26">
        <f>SUM(E35:E38)</f>
        <v>4908304</v>
      </c>
      <c r="F39" s="26">
        <f>SUM(F35:F38)</f>
        <v>269956</v>
      </c>
      <c r="G39" s="26">
        <f>SUM(G35:G38)</f>
        <v>5178260</v>
      </c>
      <c r="H39" s="27"/>
      <c r="I39" s="26">
        <f>SUM(I35:I38)</f>
        <v>6856995</v>
      </c>
      <c r="J39" s="26">
        <f>SUM(J35:J38)</f>
        <v>685699</v>
      </c>
      <c r="K39" s="26">
        <f>SUM(K35:K38)</f>
        <v>7542694</v>
      </c>
      <c r="L39" s="27"/>
      <c r="M39" s="26">
        <f>SUM(M35:M38)</f>
        <v>11765299</v>
      </c>
      <c r="N39" s="26">
        <f>SUM(N35:N38)</f>
        <v>955655</v>
      </c>
      <c r="O39" s="26">
        <f>SUM(O35:O38)</f>
        <v>12720954</v>
      </c>
      <c r="P39" s="28"/>
      <c r="Q39" s="26">
        <f>SUM(Q35:Q38)</f>
        <v>3917362</v>
      </c>
      <c r="R39" s="26">
        <f>SUM(R35:R38)</f>
        <v>391736</v>
      </c>
      <c r="S39" s="26">
        <f>SUM(S35:S38)</f>
        <v>4309098</v>
      </c>
    </row>
    <row r="40" spans="1:22" s="96" customFormat="1" ht="24.95" customHeight="1">
      <c r="A40" s="29" t="s">
        <v>174</v>
      </c>
      <c r="B40" s="109"/>
      <c r="C40" s="107">
        <f>ROUND(O40+S40,0)</f>
        <v>0</v>
      </c>
      <c r="D40" s="25"/>
      <c r="E40" s="63">
        <f>ROUND(B40*IF($B$30="Surface utile",$AF$13,$AF$14),0)</f>
        <v>0</v>
      </c>
      <c r="F40" s="63">
        <f>ROUND(E40*$B$25,0)</f>
        <v>0</v>
      </c>
      <c r="G40" s="63">
        <f>ROUND(E40+F40,0)</f>
        <v>0</v>
      </c>
      <c r="H40" s="27"/>
      <c r="I40" s="63">
        <f>ROUND(B40*IF($B$30="Surface utile",$AF$20,$AF$21),0)</f>
        <v>0</v>
      </c>
      <c r="J40" s="63">
        <f>ROUND(I40*$B$26,0)</f>
        <v>0</v>
      </c>
      <c r="K40" s="63">
        <f>ROUND(I40+J40,0)</f>
        <v>0</v>
      </c>
      <c r="L40" s="27"/>
      <c r="M40" s="63">
        <f>E40+I40</f>
        <v>0</v>
      </c>
      <c r="N40" s="63">
        <f>F40+J40</f>
        <v>0</v>
      </c>
      <c r="O40" s="63">
        <f>ROUND(M40+N40,0)</f>
        <v>0</v>
      </c>
      <c r="P40" s="28"/>
      <c r="Q40" s="63">
        <f>ROUND(B40*IF($B$30="Surface utile",$AF$16,$AF$17),0)</f>
        <v>0</v>
      </c>
      <c r="R40" s="63">
        <f>ROUND(Q40*$B$27,0)</f>
        <v>0</v>
      </c>
      <c r="S40" s="63">
        <f>ROUND(Q40+R40,0)</f>
        <v>0</v>
      </c>
    </row>
    <row r="41" spans="1:22" ht="16.5" customHeight="1">
      <c r="A41" s="29" t="s">
        <v>175</v>
      </c>
      <c r="B41" s="123"/>
      <c r="C41" s="109">
        <v>576753</v>
      </c>
      <c r="D41" s="124"/>
      <c r="E41" s="26">
        <f>G41</f>
        <v>180510</v>
      </c>
      <c r="F41" s="123"/>
      <c r="G41" s="26">
        <f>ROUND(C41*IF($B$30="Surface utile",$AF$13,$AF$14),0)</f>
        <v>180510</v>
      </c>
      <c r="H41" s="27"/>
      <c r="I41" s="26">
        <f>K41</f>
        <v>252176</v>
      </c>
      <c r="J41" s="123"/>
      <c r="K41" s="26">
        <f>ROUND(C41*IF($B$30="Surface utile",$AF$20,$AF$21),0)</f>
        <v>252176</v>
      </c>
      <c r="L41" s="27"/>
      <c r="M41" s="26">
        <f>O41</f>
        <v>432686</v>
      </c>
      <c r="N41" s="123"/>
      <c r="O41" s="26">
        <f>G41+K41</f>
        <v>432686</v>
      </c>
      <c r="P41" s="122"/>
      <c r="Q41" s="26">
        <f>S41</f>
        <v>144067</v>
      </c>
      <c r="R41" s="123"/>
      <c r="S41" s="26">
        <f>ROUND(C41*IF($B$30="Surface utile",$AF$16,$AF$17),0)</f>
        <v>144067</v>
      </c>
    </row>
    <row r="42" spans="1:22" ht="46.5" customHeight="1">
      <c r="A42" s="30" t="s">
        <v>66</v>
      </c>
      <c r="B42" s="107">
        <f>B39+C41+B40</f>
        <v>16259414</v>
      </c>
      <c r="C42" s="107">
        <f>ROUND(C39+C41+C40,0)</f>
        <v>17606805</v>
      </c>
      <c r="D42" s="22"/>
      <c r="E42" s="26">
        <f>G41+E39+E40</f>
        <v>5088814</v>
      </c>
      <c r="F42" s="26">
        <f>F39+F40</f>
        <v>269956</v>
      </c>
      <c r="G42" s="26">
        <f>G41+G39+G40</f>
        <v>5358770</v>
      </c>
      <c r="H42" s="27"/>
      <c r="I42" s="26">
        <f>K41+I39+I40</f>
        <v>7109171</v>
      </c>
      <c r="J42" s="26">
        <f>J39+J40</f>
        <v>685699</v>
      </c>
      <c r="K42" s="26">
        <f>K41+K39+K40</f>
        <v>7794870</v>
      </c>
      <c r="L42" s="27"/>
      <c r="M42" s="26">
        <f>O41+M39+M40</f>
        <v>12197985</v>
      </c>
      <c r="N42" s="26">
        <f>N39+N40</f>
        <v>955655</v>
      </c>
      <c r="O42" s="26">
        <f>O41+O39+O40</f>
        <v>13153640</v>
      </c>
      <c r="P42" s="122"/>
      <c r="Q42" s="26">
        <f>S41+Q39+Q40</f>
        <v>4061429</v>
      </c>
      <c r="R42" s="26">
        <f>R39+R40</f>
        <v>391736</v>
      </c>
      <c r="S42" s="26">
        <f>S41+S39+S40</f>
        <v>4453165</v>
      </c>
    </row>
    <row r="43" spans="1:22" ht="22.5" customHeight="1">
      <c r="A43" s="81"/>
      <c r="B43" s="22"/>
      <c r="C43" s="22"/>
      <c r="D43" s="22"/>
      <c r="E43" s="82"/>
      <c r="F43" s="82"/>
      <c r="G43" s="82"/>
      <c r="H43" s="27"/>
      <c r="I43" s="82"/>
      <c r="J43" s="82"/>
      <c r="K43" s="82"/>
      <c r="L43" s="27"/>
      <c r="M43" s="82"/>
      <c r="N43" s="82"/>
      <c r="O43" s="82"/>
      <c r="P43" s="122"/>
      <c r="Q43" s="82"/>
      <c r="R43" s="82"/>
      <c r="S43" s="82"/>
    </row>
    <row r="44" spans="1:22" ht="22.5" customHeight="1">
      <c r="B44" s="22"/>
      <c r="C44" s="22"/>
      <c r="D44" s="22"/>
      <c r="E44" s="229" t="s">
        <v>156</v>
      </c>
      <c r="F44" s="230"/>
      <c r="G44" s="230"/>
      <c r="H44" s="27"/>
      <c r="I44" s="82"/>
      <c r="J44" s="82"/>
      <c r="K44" s="82"/>
      <c r="L44" s="27"/>
      <c r="M44" s="82"/>
      <c r="N44" s="82"/>
      <c r="O44" s="82"/>
      <c r="P44" s="122"/>
      <c r="Q44" s="82"/>
      <c r="R44" s="82"/>
      <c r="S44" s="82"/>
    </row>
    <row r="45" spans="1:22" ht="22.5" customHeight="1">
      <c r="B45" s="22"/>
      <c r="C45" s="22"/>
      <c r="D45" s="22"/>
      <c r="E45" s="61" t="s">
        <v>157</v>
      </c>
      <c r="F45" s="61" t="s">
        <v>158</v>
      </c>
      <c r="G45" s="61" t="s">
        <v>159</v>
      </c>
      <c r="H45" s="27"/>
      <c r="I45" s="82"/>
      <c r="J45" s="82"/>
      <c r="K45" s="82"/>
      <c r="L45" s="27"/>
      <c r="M45" s="82"/>
      <c r="N45" s="82"/>
      <c r="O45" s="82"/>
      <c r="P45" s="122"/>
      <c r="Q45" s="82"/>
      <c r="R45" s="82"/>
      <c r="S45" s="82"/>
    </row>
    <row r="46" spans="1:22" ht="27.75" customHeight="1">
      <c r="B46" s="22"/>
      <c r="C46" s="22"/>
      <c r="D46" s="231" t="s">
        <v>61</v>
      </c>
      <c r="E46" s="63">
        <f>ROUND(B35*IF($B$30="Surface utile",$AH$13,$AH$14),0)</f>
        <v>185714</v>
      </c>
      <c r="F46" s="63">
        <f>ROUND(E46*$B$25,0)</f>
        <v>10214</v>
      </c>
      <c r="G46" s="63">
        <f>ROUND(E46+F46,0)</f>
        <v>195928</v>
      </c>
      <c r="H46" s="27"/>
      <c r="I46" s="82"/>
      <c r="J46" s="82"/>
      <c r="K46" s="82"/>
      <c r="L46" s="27"/>
      <c r="M46" s="82"/>
      <c r="N46" s="82"/>
      <c r="O46" s="82"/>
      <c r="P46" s="122"/>
      <c r="Q46" s="82"/>
      <c r="R46" s="82"/>
      <c r="S46" s="82"/>
    </row>
    <row r="47" spans="1:22" ht="22.5" customHeight="1">
      <c r="B47" s="22"/>
      <c r="C47" s="22"/>
      <c r="D47" s="231" t="s">
        <v>63</v>
      </c>
      <c r="E47" s="63">
        <f>ROUND(B37*IF($B$30="Surface utile",$AH$13,$AH$14),0)</f>
        <v>337632</v>
      </c>
      <c r="F47" s="63">
        <f>ROUND(E47*$B$25,0)</f>
        <v>18570</v>
      </c>
      <c r="G47" s="63">
        <f>ROUND(E47+F47,0)</f>
        <v>356202</v>
      </c>
      <c r="H47" s="27"/>
      <c r="I47" s="82"/>
      <c r="J47" s="82"/>
      <c r="K47" s="82"/>
      <c r="L47" s="27"/>
      <c r="M47" s="82"/>
      <c r="N47" s="82"/>
      <c r="O47" s="82"/>
      <c r="P47" s="122"/>
      <c r="Q47" s="82"/>
      <c r="R47" s="82"/>
      <c r="S47" s="82"/>
    </row>
    <row r="48" spans="1:22" ht="22.5" customHeight="1">
      <c r="B48" s="22"/>
      <c r="C48" s="22"/>
      <c r="D48" s="231" t="s">
        <v>64</v>
      </c>
      <c r="E48" s="63">
        <f>ROUND(B38*IF($B$30="Surface utile",$AH$13,$AH$14),0)</f>
        <v>0</v>
      </c>
      <c r="F48" s="63">
        <f>ROUND(E48*$B$25,0)</f>
        <v>0</v>
      </c>
      <c r="G48" s="63">
        <f>ROUND(E48+F48,0)</f>
        <v>0</v>
      </c>
      <c r="H48" s="27"/>
      <c r="I48" s="82"/>
      <c r="J48" s="82"/>
      <c r="K48" s="82"/>
      <c r="L48" s="27"/>
      <c r="M48" s="82"/>
      <c r="N48" s="82"/>
      <c r="O48" s="82"/>
      <c r="P48" s="122"/>
      <c r="Q48" s="82"/>
      <c r="R48" s="82"/>
      <c r="S48" s="82"/>
    </row>
    <row r="49" spans="1:19" ht="22.5" customHeight="1">
      <c r="B49" s="22"/>
      <c r="C49" s="22"/>
      <c r="D49" s="84" t="s">
        <v>65</v>
      </c>
      <c r="E49" s="26">
        <f>SUM(E46:E48)</f>
        <v>523346</v>
      </c>
      <c r="F49" s="26">
        <f>SUM(F46:F48)</f>
        <v>28784</v>
      </c>
      <c r="G49" s="26">
        <f>SUM(G46:G48)</f>
        <v>552130</v>
      </c>
      <c r="H49" s="27"/>
      <c r="I49" s="82"/>
      <c r="J49" s="82"/>
      <c r="K49" s="82"/>
      <c r="L49" s="27"/>
      <c r="M49" s="82"/>
      <c r="N49" s="82"/>
      <c r="O49" s="82"/>
      <c r="P49" s="122"/>
      <c r="Q49" s="82"/>
      <c r="R49" s="82"/>
      <c r="S49" s="82"/>
    </row>
    <row r="50" spans="1:19" ht="22.5" customHeight="1">
      <c r="D50" s="83" t="s">
        <v>174</v>
      </c>
      <c r="E50" s="63">
        <f>ROUND(B40*IF($B$30="Surface utile",$AH$13,$AH$14),0)</f>
        <v>0</v>
      </c>
      <c r="F50" s="63">
        <f>ROUND(E50*$B$25,0)</f>
        <v>0</v>
      </c>
      <c r="G50" s="63">
        <f>ROUND(E50+F50,0)</f>
        <v>0</v>
      </c>
    </row>
    <row r="51" spans="1:19" ht="22.5" customHeight="1">
      <c r="D51" s="83" t="s">
        <v>175</v>
      </c>
      <c r="E51" s="26">
        <f>G51</f>
        <v>19247</v>
      </c>
      <c r="F51" s="123"/>
      <c r="G51" s="26">
        <f>ROUND(C41*IF($B$30="Surface utile",$AH$13,$AH$14),0)</f>
        <v>19247</v>
      </c>
    </row>
    <row r="52" spans="1:19" ht="33" customHeight="1">
      <c r="D52" s="85" t="s">
        <v>160</v>
      </c>
      <c r="E52" s="26">
        <f>G51+E49+E50</f>
        <v>542593</v>
      </c>
      <c r="F52" s="26">
        <f>F49+F50</f>
        <v>28784</v>
      </c>
      <c r="G52" s="26">
        <f>G50+G49+G51</f>
        <v>571377</v>
      </c>
    </row>
    <row r="54" spans="1:19" ht="21" customHeight="1">
      <c r="A54" s="186" t="s">
        <v>67</v>
      </c>
      <c r="B54" s="186"/>
      <c r="C54" s="186"/>
      <c r="D54" s="186"/>
      <c r="E54" s="186"/>
      <c r="F54" s="186"/>
      <c r="G54" s="186"/>
      <c r="I54" s="186" t="s">
        <v>68</v>
      </c>
      <c r="J54" s="186"/>
      <c r="K54" s="186"/>
      <c r="L54" s="186"/>
    </row>
    <row r="55" spans="1:19" ht="15.75">
      <c r="A55" s="17"/>
      <c r="B55" s="17"/>
      <c r="C55" s="17"/>
      <c r="D55" s="17"/>
      <c r="E55" s="17"/>
    </row>
    <row r="57" spans="1:19" ht="49.5" customHeight="1">
      <c r="A57" s="19"/>
      <c r="B57" s="92" t="s">
        <v>162</v>
      </c>
      <c r="C57" s="92" t="s">
        <v>70</v>
      </c>
      <c r="D57" s="92" t="s">
        <v>71</v>
      </c>
      <c r="E57" s="92" t="s">
        <v>72</v>
      </c>
      <c r="F57" s="187" t="s">
        <v>73</v>
      </c>
      <c r="G57" s="187"/>
      <c r="I57" s="31"/>
      <c r="J57" s="32" t="s">
        <v>71</v>
      </c>
      <c r="K57" s="33" t="s">
        <v>72</v>
      </c>
      <c r="L57" s="34" t="s">
        <v>73</v>
      </c>
    </row>
    <row r="58" spans="1:19" ht="41.25" customHeight="1">
      <c r="A58" s="35" t="s">
        <v>74</v>
      </c>
      <c r="B58" s="36">
        <v>300000</v>
      </c>
      <c r="C58" s="36"/>
      <c r="D58" s="129">
        <f>ROUND(B58+C58,0)</f>
        <v>300000</v>
      </c>
      <c r="E58" s="37">
        <f>D58/D$81</f>
        <v>1.7498941605681884E-2</v>
      </c>
      <c r="F58" s="189" t="s">
        <v>75</v>
      </c>
      <c r="G58" s="190"/>
      <c r="I58" s="19" t="s">
        <v>76</v>
      </c>
      <c r="J58" s="36"/>
      <c r="K58" s="38">
        <f>ROUND(J58,0)/J$78</f>
        <v>0</v>
      </c>
      <c r="L58" s="39"/>
    </row>
    <row r="59" spans="1:19" ht="46.5" customHeight="1">
      <c r="A59" s="40" t="s">
        <v>77</v>
      </c>
      <c r="B59" s="36">
        <v>45000</v>
      </c>
      <c r="C59" s="36"/>
      <c r="D59" s="129">
        <f>ROUND(B59+C59,0)</f>
        <v>45000</v>
      </c>
      <c r="E59" s="37">
        <f t="shared" ref="E59:E80" si="0">D59/D$81</f>
        <v>2.6248412408522823E-3</v>
      </c>
      <c r="F59" s="191" t="s">
        <v>78</v>
      </c>
      <c r="G59" s="191"/>
      <c r="I59" s="19" t="s">
        <v>79</v>
      </c>
      <c r="J59" s="36"/>
      <c r="K59" s="38">
        <f t="shared" ref="K59:K67" si="1">ROUND(J59,0)/J$78</f>
        <v>0</v>
      </c>
      <c r="L59" s="39" t="s">
        <v>80</v>
      </c>
    </row>
    <row r="60" spans="1:19" ht="15.75">
      <c r="A60" s="41" t="s">
        <v>81</v>
      </c>
      <c r="B60" s="42">
        <f>SUM(B58:B59)</f>
        <v>345000</v>
      </c>
      <c r="C60" s="42">
        <f>SUM(C58:C59)</f>
        <v>0</v>
      </c>
      <c r="D60" s="42">
        <f>SUM(D58:D59)</f>
        <v>345000</v>
      </c>
      <c r="E60" s="43">
        <f t="shared" si="0"/>
        <v>2.0123782846534165E-2</v>
      </c>
      <c r="F60" s="192"/>
      <c r="G60" s="192"/>
      <c r="I60" s="19" t="s">
        <v>82</v>
      </c>
      <c r="J60" s="36"/>
      <c r="K60" s="38">
        <f t="shared" si="1"/>
        <v>0</v>
      </c>
      <c r="L60" s="39" t="s">
        <v>80</v>
      </c>
    </row>
    <row r="61" spans="1:19">
      <c r="A61" s="19" t="s">
        <v>76</v>
      </c>
      <c r="B61" s="36"/>
      <c r="C61" s="36"/>
      <c r="D61" s="129">
        <f>ROUND(B61+C61,0)</f>
        <v>0</v>
      </c>
      <c r="E61" s="38">
        <f t="shared" si="0"/>
        <v>0</v>
      </c>
      <c r="F61" s="182"/>
      <c r="G61" s="182"/>
      <c r="I61" s="19" t="s">
        <v>83</v>
      </c>
      <c r="J61" s="36">
        <v>125000</v>
      </c>
      <c r="K61" s="38">
        <f t="shared" si="1"/>
        <v>2.800577591122393E-2</v>
      </c>
      <c r="L61" s="39"/>
    </row>
    <row r="62" spans="1:19" ht="24.6" customHeight="1">
      <c r="A62" s="19" t="s">
        <v>79</v>
      </c>
      <c r="B62" s="36"/>
      <c r="C62" s="36"/>
      <c r="D62" s="129">
        <f>ROUND(B62+C62,0)</f>
        <v>0</v>
      </c>
      <c r="E62" s="38">
        <f t="shared" si="0"/>
        <v>0</v>
      </c>
      <c r="F62" s="182"/>
      <c r="G62" s="182"/>
      <c r="I62" s="44" t="s">
        <v>84</v>
      </c>
      <c r="J62" s="42">
        <f>SUM(J58:J61)</f>
        <v>125000</v>
      </c>
      <c r="K62" s="43">
        <f>ROUND(J62,0)/J$78</f>
        <v>2.800577591122393E-2</v>
      </c>
      <c r="L62" s="125"/>
    </row>
    <row r="63" spans="1:19">
      <c r="A63" s="19" t="s">
        <v>82</v>
      </c>
      <c r="B63" s="36"/>
      <c r="C63" s="36"/>
      <c r="D63" s="129">
        <f>ROUND(B63+C63,0)</f>
        <v>0</v>
      </c>
      <c r="E63" s="38">
        <f t="shared" si="0"/>
        <v>0</v>
      </c>
      <c r="F63" s="182"/>
      <c r="G63" s="182"/>
      <c r="I63" s="19" t="s">
        <v>85</v>
      </c>
      <c r="J63" s="36"/>
      <c r="K63" s="38">
        <f t="shared" si="1"/>
        <v>0</v>
      </c>
      <c r="L63" s="126"/>
    </row>
    <row r="64" spans="1:19">
      <c r="A64" s="19" t="s">
        <v>83</v>
      </c>
      <c r="B64" s="36"/>
      <c r="C64" s="36">
        <v>68000</v>
      </c>
      <c r="D64" s="129">
        <f>ROUND(B64+C64,0)</f>
        <v>68000</v>
      </c>
      <c r="E64" s="38">
        <f t="shared" si="0"/>
        <v>3.9664267639545605E-3</v>
      </c>
      <c r="F64" s="182"/>
      <c r="G64" s="182"/>
      <c r="I64" s="45" t="s">
        <v>86</v>
      </c>
      <c r="J64" s="36"/>
      <c r="K64" s="38">
        <f t="shared" si="1"/>
        <v>0</v>
      </c>
      <c r="L64" s="126"/>
    </row>
    <row r="65" spans="1:12" ht="15.75">
      <c r="A65" s="46" t="s">
        <v>84</v>
      </c>
      <c r="B65" s="42">
        <f>SUM(B61:B64)</f>
        <v>0</v>
      </c>
      <c r="C65" s="42">
        <f>SUM(C61:C64)</f>
        <v>68000</v>
      </c>
      <c r="D65" s="42">
        <f>SUM(D61:D64)</f>
        <v>68000</v>
      </c>
      <c r="E65" s="43">
        <f t="shared" si="0"/>
        <v>3.9664267639545605E-3</v>
      </c>
      <c r="F65" s="183"/>
      <c r="G65" s="183"/>
      <c r="I65" s="45" t="s">
        <v>87</v>
      </c>
      <c r="J65" s="36"/>
      <c r="K65" s="38">
        <f t="shared" si="1"/>
        <v>0</v>
      </c>
      <c r="L65" s="126"/>
    </row>
    <row r="66" spans="1:12">
      <c r="A66" s="19" t="s">
        <v>85</v>
      </c>
      <c r="B66" s="36">
        <v>150000</v>
      </c>
      <c r="C66" s="36">
        <v>85000</v>
      </c>
      <c r="D66" s="129">
        <f>ROUND(B66+C66,0)</f>
        <v>235000</v>
      </c>
      <c r="E66" s="38">
        <f t="shared" si="0"/>
        <v>1.3707504257784142E-2</v>
      </c>
      <c r="F66" s="182"/>
      <c r="G66" s="182"/>
      <c r="I66" s="45" t="s">
        <v>88</v>
      </c>
      <c r="J66" s="36"/>
      <c r="K66" s="38">
        <f t="shared" si="1"/>
        <v>0</v>
      </c>
      <c r="L66" s="126"/>
    </row>
    <row r="67" spans="1:12">
      <c r="A67" s="47" t="s">
        <v>86</v>
      </c>
      <c r="B67" s="36">
        <v>75000</v>
      </c>
      <c r="C67" s="36">
        <v>51000</v>
      </c>
      <c r="D67" s="129">
        <f>ROUND(B67+C67,0)</f>
        <v>126000</v>
      </c>
      <c r="E67" s="38">
        <f t="shared" si="0"/>
        <v>7.3495554743863911E-3</v>
      </c>
      <c r="F67" s="182"/>
      <c r="G67" s="182"/>
      <c r="I67" s="45" t="s">
        <v>89</v>
      </c>
      <c r="J67" s="36"/>
      <c r="K67" s="38">
        <f t="shared" si="1"/>
        <v>0</v>
      </c>
      <c r="L67" s="126"/>
    </row>
    <row r="68" spans="1:12" ht="28.7" customHeight="1">
      <c r="A68" s="47" t="s">
        <v>87</v>
      </c>
      <c r="B68" s="36">
        <v>4000000</v>
      </c>
      <c r="C68" s="36"/>
      <c r="D68" s="129">
        <f>ROUND(B68+C68,0)</f>
        <v>4000000</v>
      </c>
      <c r="E68" s="38">
        <f t="shared" si="0"/>
        <v>0.23331922140909178</v>
      </c>
      <c r="F68" s="182"/>
      <c r="G68" s="182"/>
      <c r="I68" s="44" t="s">
        <v>90</v>
      </c>
      <c r="J68" s="42">
        <f>SUM(J63:J67)</f>
        <v>0</v>
      </c>
      <c r="K68" s="43">
        <f>ROUND(J68,0)/J$78</f>
        <v>0</v>
      </c>
      <c r="L68" s="125"/>
    </row>
    <row r="69" spans="1:12" ht="15.75">
      <c r="A69" s="47" t="s">
        <v>88</v>
      </c>
      <c r="B69" s="36"/>
      <c r="C69" s="36"/>
      <c r="D69" s="129">
        <f t="shared" ref="D69:D70" si="2">ROUND(B69+C69,0)</f>
        <v>0</v>
      </c>
      <c r="E69" s="38">
        <f t="shared" si="0"/>
        <v>0</v>
      </c>
      <c r="F69" s="182"/>
      <c r="G69" s="182"/>
      <c r="I69" s="21" t="s">
        <v>91</v>
      </c>
      <c r="J69" s="48">
        <f>J62+J68</f>
        <v>125000</v>
      </c>
      <c r="K69" s="49">
        <f>ROUND(J69,0)/$J$78</f>
        <v>2.800577591122393E-2</v>
      </c>
      <c r="L69" s="127"/>
    </row>
    <row r="70" spans="1:12">
      <c r="A70" s="47" t="s">
        <v>89</v>
      </c>
      <c r="B70" s="36"/>
      <c r="C70" s="36"/>
      <c r="D70" s="129">
        <f t="shared" si="2"/>
        <v>0</v>
      </c>
      <c r="E70" s="38">
        <f t="shared" si="0"/>
        <v>0</v>
      </c>
      <c r="F70" s="182"/>
      <c r="G70" s="182"/>
      <c r="I70" s="29" t="s">
        <v>92</v>
      </c>
      <c r="J70" s="36">
        <v>1742081</v>
      </c>
      <c r="K70" s="38">
        <f t="shared" ref="K70:K75" si="3">ROUND(J70,0)/J$78</f>
        <v>0.39030664084160716</v>
      </c>
      <c r="L70" s="128" t="s">
        <v>154</v>
      </c>
    </row>
    <row r="71" spans="1:12" ht="15.75">
      <c r="A71" s="46" t="s">
        <v>90</v>
      </c>
      <c r="B71" s="42">
        <f>SUM(B66:B70)</f>
        <v>4225000</v>
      </c>
      <c r="C71" s="42">
        <f>SUM(C66:C70)</f>
        <v>136000</v>
      </c>
      <c r="D71" s="42">
        <f>SUM(D66:D70)</f>
        <v>4361000</v>
      </c>
      <c r="E71" s="43">
        <f t="shared" si="0"/>
        <v>0.25437628114126232</v>
      </c>
      <c r="F71" s="183"/>
      <c r="G71" s="183"/>
      <c r="I71" s="29" t="s">
        <v>94</v>
      </c>
      <c r="J71" s="36">
        <v>1465610</v>
      </c>
      <c r="K71" s="38">
        <f t="shared" si="3"/>
        <v>0.32836436186599122</v>
      </c>
      <c r="L71" s="128" t="s">
        <v>155</v>
      </c>
    </row>
    <row r="72" spans="1:12" ht="15.75">
      <c r="A72" s="21" t="s">
        <v>91</v>
      </c>
      <c r="B72" s="48">
        <f>B60+B65+B71</f>
        <v>4570000</v>
      </c>
      <c r="C72" s="48">
        <f>C60+C65+C71</f>
        <v>204000</v>
      </c>
      <c r="D72" s="48">
        <f>D60+D65+D71</f>
        <v>4774000</v>
      </c>
      <c r="E72" s="49">
        <f t="shared" si="0"/>
        <v>0.27846649075175101</v>
      </c>
      <c r="F72" s="184"/>
      <c r="G72" s="184"/>
      <c r="I72" s="29" t="s">
        <v>95</v>
      </c>
      <c r="J72" s="36"/>
      <c r="K72" s="38">
        <f t="shared" si="3"/>
        <v>0</v>
      </c>
      <c r="L72" s="126"/>
    </row>
    <row r="73" spans="1:12">
      <c r="A73" s="29" t="s">
        <v>96</v>
      </c>
      <c r="B73" s="36">
        <v>1025593</v>
      </c>
      <c r="C73" s="36">
        <v>1784024</v>
      </c>
      <c r="D73" s="129">
        <f>ROUND(B73+C73,0)</f>
        <v>2809617</v>
      </c>
      <c r="E73" s="38">
        <f t="shared" si="0"/>
        <v>0.16388441272443705</v>
      </c>
      <c r="F73" s="188" t="s">
        <v>154</v>
      </c>
      <c r="G73" s="188"/>
      <c r="I73" s="50" t="s">
        <v>97</v>
      </c>
      <c r="J73" s="36"/>
      <c r="K73" s="38">
        <f t="shared" si="3"/>
        <v>0</v>
      </c>
      <c r="L73" s="126"/>
    </row>
    <row r="74" spans="1:12">
      <c r="A74" s="51" t="s">
        <v>98</v>
      </c>
      <c r="B74" s="36">
        <v>1828446</v>
      </c>
      <c r="C74" s="36">
        <v>2559952</v>
      </c>
      <c r="D74" s="129">
        <f t="shared" ref="D74:D77" si="4">ROUND(B74+C74,0)</f>
        <v>4388398</v>
      </c>
      <c r="E74" s="38">
        <f t="shared" si="0"/>
        <v>0.25597440114830389</v>
      </c>
      <c r="F74" s="188" t="s">
        <v>155</v>
      </c>
      <c r="G74" s="188"/>
      <c r="I74" s="50" t="s">
        <v>99</v>
      </c>
      <c r="J74" s="36"/>
      <c r="K74" s="38">
        <f t="shared" si="3"/>
        <v>0</v>
      </c>
      <c r="L74" s="126"/>
    </row>
    <row r="75" spans="1:12">
      <c r="A75" s="29" t="s">
        <v>100</v>
      </c>
      <c r="B75" s="36">
        <v>497000</v>
      </c>
      <c r="C75" s="36">
        <v>994000</v>
      </c>
      <c r="D75" s="129">
        <f t="shared" si="4"/>
        <v>1491000</v>
      </c>
      <c r="E75" s="38">
        <f t="shared" si="0"/>
        <v>8.6969739780238961E-2</v>
      </c>
      <c r="F75" s="182"/>
      <c r="G75" s="182"/>
      <c r="I75" s="50" t="s">
        <v>101</v>
      </c>
      <c r="J75" s="36"/>
      <c r="K75" s="38">
        <f t="shared" si="3"/>
        <v>0</v>
      </c>
      <c r="L75" s="126"/>
    </row>
    <row r="76" spans="1:12" ht="15.75">
      <c r="A76" s="50" t="s">
        <v>97</v>
      </c>
      <c r="B76" s="36"/>
      <c r="C76" s="36"/>
      <c r="D76" s="129">
        <f t="shared" si="4"/>
        <v>0</v>
      </c>
      <c r="E76" s="38">
        <f t="shared" si="0"/>
        <v>0</v>
      </c>
      <c r="F76" s="182"/>
      <c r="G76" s="182"/>
      <c r="I76" s="52" t="s">
        <v>102</v>
      </c>
      <c r="J76" s="48">
        <f>SUM(J70:J75)</f>
        <v>3207691</v>
      </c>
      <c r="K76" s="49">
        <f t="shared" ref="K76:K77" si="5">ROUND(J76,0)/$J$78</f>
        <v>0.71867100270759843</v>
      </c>
      <c r="L76" s="127"/>
    </row>
    <row r="77" spans="1:12" ht="15.75">
      <c r="A77" s="50" t="s">
        <v>99</v>
      </c>
      <c r="B77" s="36"/>
      <c r="C77" s="36"/>
      <c r="D77" s="129">
        <f t="shared" si="4"/>
        <v>0</v>
      </c>
      <c r="E77" s="38">
        <f t="shared" si="0"/>
        <v>0</v>
      </c>
      <c r="F77" s="182"/>
      <c r="G77" s="182"/>
      <c r="I77" s="21" t="s">
        <v>103</v>
      </c>
      <c r="J77" s="53">
        <v>1130674</v>
      </c>
      <c r="K77" s="49">
        <f t="shared" si="5"/>
        <v>0.25332322138117763</v>
      </c>
      <c r="L77" s="127"/>
    </row>
    <row r="78" spans="1:12" ht="15.75">
      <c r="A78" s="50" t="s">
        <v>101</v>
      </c>
      <c r="B78" s="36"/>
      <c r="C78" s="36"/>
      <c r="D78" s="129">
        <f>ROUND(B78+C78,0)</f>
        <v>0</v>
      </c>
      <c r="E78" s="38">
        <f t="shared" si="0"/>
        <v>0</v>
      </c>
      <c r="F78" s="182"/>
      <c r="G78" s="182"/>
      <c r="I78" s="54" t="s">
        <v>104</v>
      </c>
      <c r="J78" s="55">
        <f>J69+J76+J77</f>
        <v>4463365</v>
      </c>
      <c r="K78" s="56">
        <f>ROUND(J78,0)/$J$78</f>
        <v>1</v>
      </c>
      <c r="L78" s="126"/>
    </row>
    <row r="79" spans="1:12" ht="15.75">
      <c r="A79" s="52" t="s">
        <v>102</v>
      </c>
      <c r="B79" s="48">
        <f>SUM(B73:B78)</f>
        <v>3351039</v>
      </c>
      <c r="C79" s="48">
        <f>SUM(C73:C78)</f>
        <v>5337976</v>
      </c>
      <c r="D79" s="48">
        <f>SUM(D73:D78)</f>
        <v>8689015</v>
      </c>
      <c r="E79" s="49">
        <f t="shared" si="0"/>
        <v>0.50682855365297985</v>
      </c>
      <c r="F79" s="184"/>
      <c r="G79" s="184"/>
    </row>
    <row r="80" spans="1:12" ht="30">
      <c r="A80" s="21" t="s">
        <v>103</v>
      </c>
      <c r="B80" s="53">
        <v>1426711</v>
      </c>
      <c r="C80" s="53">
        <v>2254168</v>
      </c>
      <c r="D80" s="107">
        <f>ROUND(B80+C80,0)</f>
        <v>3680879</v>
      </c>
      <c r="E80" s="49">
        <f t="shared" si="0"/>
        <v>0.21470495559526909</v>
      </c>
      <c r="F80" s="184"/>
      <c r="G80" s="184"/>
      <c r="I80" s="89" t="s">
        <v>105</v>
      </c>
      <c r="J80" s="180" t="str">
        <f>IF(ROUND(J78,0)&lt;&gt;S42,"plan de financement non équilibré", "OK")</f>
        <v>plan de financement non équilibré</v>
      </c>
      <c r="K80" s="180"/>
    </row>
    <row r="81" spans="1:1024" ht="15.75">
      <c r="A81" s="57" t="s">
        <v>104</v>
      </c>
      <c r="B81" s="55">
        <f>B72+B79+B80</f>
        <v>9347750</v>
      </c>
      <c r="C81" s="55">
        <f>C72+C79+C80</f>
        <v>7796144</v>
      </c>
      <c r="D81" s="107">
        <f>ROUND(B81+C81,0)</f>
        <v>17143894</v>
      </c>
      <c r="E81" s="58">
        <f>D81/$D$81</f>
        <v>1</v>
      </c>
      <c r="F81" s="182"/>
      <c r="G81" s="182"/>
    </row>
    <row r="83" spans="1:1024" ht="25.5">
      <c r="A83" s="10" t="s">
        <v>105</v>
      </c>
      <c r="B83" s="90" t="str">
        <f>IF(ROUND(B81,0)&lt;&gt;G42,"plan de financement non équilibré", "OK")</f>
        <v>plan de financement non équilibré</v>
      </c>
      <c r="C83" s="90" t="str">
        <f>IF(ROUND(C81,0)&lt;&gt;K42,"plan de financement non équilibré", "OK")</f>
        <v>plan de financement non équilibré</v>
      </c>
    </row>
    <row r="84" spans="1:1024" ht="15.75">
      <c r="A84" s="10"/>
      <c r="B84" s="90"/>
      <c r="C84" s="90"/>
      <c r="I84" s="89"/>
      <c r="J84" s="94"/>
      <c r="K84" s="94"/>
    </row>
    <row r="85" spans="1:1024" ht="15.75">
      <c r="C85" s="90"/>
      <c r="I85" s="89"/>
      <c r="J85" s="94"/>
      <c r="K85" s="94"/>
    </row>
    <row r="86" spans="1:1024" ht="15.75">
      <c r="C86" s="130"/>
      <c r="I86" s="89"/>
      <c r="J86" s="94"/>
      <c r="K86" s="94"/>
    </row>
    <row r="87" spans="1:1024" ht="15.75">
      <c r="A87" s="10"/>
      <c r="B87" s="90"/>
      <c r="C87" s="90"/>
      <c r="I87" s="89"/>
      <c r="J87" s="94"/>
      <c r="K87" s="94"/>
    </row>
    <row r="88" spans="1:1024" ht="15.75">
      <c r="A88" s="10"/>
      <c r="B88" s="90"/>
      <c r="C88" s="90"/>
      <c r="I88" s="89"/>
      <c r="J88" s="94"/>
      <c r="K88" s="94"/>
    </row>
    <row r="90" spans="1:1024" ht="15.75">
      <c r="A90" s="186" t="s">
        <v>164</v>
      </c>
      <c r="B90" s="186"/>
      <c r="C90" s="186"/>
      <c r="D90" s="186"/>
      <c r="E90" s="186"/>
      <c r="F90" s="186"/>
      <c r="G90" s="186"/>
    </row>
    <row r="91" spans="1:1024" ht="30.75">
      <c r="A91" s="19"/>
      <c r="B91" s="92" t="s">
        <v>163</v>
      </c>
      <c r="C91" s="92" t="s">
        <v>72</v>
      </c>
      <c r="D91" s="187" t="s">
        <v>73</v>
      </c>
      <c r="E91" s="187"/>
      <c r="AMI91" s="110"/>
      <c r="AMJ91" s="110"/>
    </row>
    <row r="92" spans="1:1024">
      <c r="A92" s="35" t="s">
        <v>74</v>
      </c>
      <c r="B92" s="36">
        <v>25000</v>
      </c>
      <c r="C92" s="37">
        <f>ROUND(B92,0)/B$115</f>
        <v>4.3738409321529795E-2</v>
      </c>
      <c r="D92" s="189" t="s">
        <v>75</v>
      </c>
      <c r="E92" s="190"/>
      <c r="AMI92" s="110"/>
      <c r="AMJ92" s="110"/>
    </row>
    <row r="93" spans="1:1024" ht="30">
      <c r="A93" s="40" t="s">
        <v>77</v>
      </c>
      <c r="B93" s="36">
        <v>45000</v>
      </c>
      <c r="C93" s="37">
        <f t="shared" ref="C93:C104" si="6">ROUND(B93,0)/B$115</f>
        <v>7.8729136778753636E-2</v>
      </c>
      <c r="D93" s="191" t="s">
        <v>78</v>
      </c>
      <c r="E93" s="191"/>
      <c r="AMI93" s="110"/>
      <c r="AMJ93" s="110"/>
    </row>
    <row r="94" spans="1:1024" ht="15.75">
      <c r="A94" s="41" t="s">
        <v>81</v>
      </c>
      <c r="B94" s="42">
        <f>SUM(B92:B93)</f>
        <v>70000</v>
      </c>
      <c r="C94" s="43">
        <f>ROUND(B94,0)/B$115</f>
        <v>0.12246754610028343</v>
      </c>
      <c r="D94" s="192"/>
      <c r="E94" s="192"/>
      <c r="AMI94" s="110"/>
      <c r="AMJ94" s="110"/>
    </row>
    <row r="95" spans="1:1024">
      <c r="A95" s="19" t="s">
        <v>76</v>
      </c>
      <c r="B95" s="36"/>
      <c r="C95" s="37">
        <f t="shared" si="6"/>
        <v>0</v>
      </c>
      <c r="D95" s="182"/>
      <c r="E95" s="182"/>
      <c r="AMI95" s="110"/>
      <c r="AMJ95" s="110"/>
    </row>
    <row r="96" spans="1:1024">
      <c r="A96" s="19" t="s">
        <v>79</v>
      </c>
      <c r="B96" s="36"/>
      <c r="C96" s="37">
        <f t="shared" si="6"/>
        <v>0</v>
      </c>
      <c r="D96" s="182"/>
      <c r="E96" s="182"/>
      <c r="AMI96" s="110"/>
      <c r="AMJ96" s="110"/>
    </row>
    <row r="97" spans="1:1024">
      <c r="A97" s="19" t="s">
        <v>82</v>
      </c>
      <c r="B97" s="36"/>
      <c r="C97" s="37">
        <f t="shared" si="6"/>
        <v>0</v>
      </c>
      <c r="D97" s="182"/>
      <c r="E97" s="182"/>
      <c r="AMI97" s="110"/>
      <c r="AMJ97" s="110"/>
    </row>
    <row r="98" spans="1:1024">
      <c r="A98" s="19" t="s">
        <v>83</v>
      </c>
      <c r="B98" s="36"/>
      <c r="C98" s="37">
        <f t="shared" si="6"/>
        <v>0</v>
      </c>
      <c r="D98" s="182"/>
      <c r="E98" s="182"/>
      <c r="AMI98" s="110"/>
      <c r="AMJ98" s="110"/>
    </row>
    <row r="99" spans="1:1024" ht="15.75">
      <c r="A99" s="46" t="s">
        <v>84</v>
      </c>
      <c r="B99" s="42">
        <f>SUM(B95:B98)</f>
        <v>0</v>
      </c>
      <c r="C99" s="43">
        <f>ROUND(B99,0)/B$115</f>
        <v>0</v>
      </c>
      <c r="D99" s="183"/>
      <c r="E99" s="183"/>
      <c r="AMI99" s="110"/>
      <c r="AMJ99" s="110"/>
    </row>
    <row r="100" spans="1:1024">
      <c r="A100" s="19" t="s">
        <v>85</v>
      </c>
      <c r="B100" s="36">
        <v>20000</v>
      </c>
      <c r="C100" s="37">
        <f t="shared" si="6"/>
        <v>3.4990727457223834E-2</v>
      </c>
      <c r="D100" s="182"/>
      <c r="E100" s="182"/>
      <c r="AMI100" s="110"/>
      <c r="AMJ100" s="110"/>
    </row>
    <row r="101" spans="1:1024">
      <c r="A101" s="47" t="s">
        <v>86</v>
      </c>
      <c r="B101" s="36">
        <v>0</v>
      </c>
      <c r="C101" s="37">
        <f t="shared" si="6"/>
        <v>0</v>
      </c>
      <c r="D101" s="182"/>
      <c r="E101" s="182"/>
      <c r="AMI101" s="110"/>
      <c r="AMJ101" s="110"/>
    </row>
    <row r="102" spans="1:1024">
      <c r="A102" s="47" t="s">
        <v>87</v>
      </c>
      <c r="B102" s="36"/>
      <c r="C102" s="37">
        <f t="shared" si="6"/>
        <v>0</v>
      </c>
      <c r="D102" s="182"/>
      <c r="E102" s="182"/>
      <c r="AMI102" s="110"/>
      <c r="AMJ102" s="110"/>
    </row>
    <row r="103" spans="1:1024">
      <c r="A103" s="47" t="s">
        <v>88</v>
      </c>
      <c r="B103" s="36"/>
      <c r="C103" s="37">
        <f t="shared" si="6"/>
        <v>0</v>
      </c>
      <c r="D103" s="182"/>
      <c r="E103" s="182"/>
      <c r="AMI103" s="110"/>
      <c r="AMJ103" s="110"/>
    </row>
    <row r="104" spans="1:1024">
      <c r="A104" s="47" t="s">
        <v>89</v>
      </c>
      <c r="B104" s="36"/>
      <c r="C104" s="37">
        <f t="shared" si="6"/>
        <v>0</v>
      </c>
      <c r="D104" s="182"/>
      <c r="E104" s="182"/>
      <c r="AMI104" s="110"/>
      <c r="AMJ104" s="110"/>
    </row>
    <row r="105" spans="1:1024" ht="15.75">
      <c r="A105" s="46" t="s">
        <v>90</v>
      </c>
      <c r="B105" s="42">
        <f>SUM(B100:B104)</f>
        <v>20000</v>
      </c>
      <c r="C105" s="43">
        <f>ROUND(B105,0)/B$115</f>
        <v>3.4990727457223834E-2</v>
      </c>
      <c r="D105" s="183"/>
      <c r="E105" s="183"/>
      <c r="AMI105" s="110"/>
      <c r="AMJ105" s="110"/>
    </row>
    <row r="106" spans="1:1024" ht="15.75">
      <c r="A106" s="21" t="s">
        <v>91</v>
      </c>
      <c r="B106" s="48">
        <f>B94+B99+B105</f>
        <v>90000</v>
      </c>
      <c r="C106" s="49">
        <f>ROUND(B106,0)/B$115</f>
        <v>0.15745827355750727</v>
      </c>
      <c r="D106" s="184"/>
      <c r="E106" s="184"/>
      <c r="AMI106" s="110"/>
      <c r="AMJ106" s="110"/>
    </row>
    <row r="107" spans="1:1024">
      <c r="A107" s="29" t="s">
        <v>96</v>
      </c>
      <c r="B107" s="36">
        <v>250000</v>
      </c>
      <c r="C107" s="37">
        <f t="shared" ref="C107:C112" si="7">ROUND(B107,0)/B$115</f>
        <v>0.43738409321529792</v>
      </c>
      <c r="D107" s="188" t="s">
        <v>154</v>
      </c>
      <c r="E107" s="188"/>
      <c r="AMI107" s="110"/>
      <c r="AMJ107" s="110"/>
    </row>
    <row r="108" spans="1:1024">
      <c r="A108" s="51" t="s">
        <v>98</v>
      </c>
      <c r="B108" s="36">
        <v>221580</v>
      </c>
      <c r="C108" s="37">
        <f>ROUND(B108,0)/B$115</f>
        <v>0.3876622694985829</v>
      </c>
      <c r="D108" s="188" t="s">
        <v>155</v>
      </c>
      <c r="E108" s="188"/>
      <c r="AMI108" s="110"/>
      <c r="AMJ108" s="110"/>
    </row>
    <row r="109" spans="1:1024">
      <c r="A109" s="29" t="s">
        <v>100</v>
      </c>
      <c r="B109" s="36">
        <v>0</v>
      </c>
      <c r="C109" s="37">
        <f t="shared" si="7"/>
        <v>0</v>
      </c>
      <c r="D109" s="182"/>
      <c r="E109" s="182"/>
      <c r="AMI109" s="110"/>
      <c r="AMJ109" s="110"/>
    </row>
    <row r="110" spans="1:1024">
      <c r="A110" s="50" t="s">
        <v>97</v>
      </c>
      <c r="B110" s="36"/>
      <c r="C110" s="37">
        <f t="shared" si="7"/>
        <v>0</v>
      </c>
      <c r="D110" s="182"/>
      <c r="E110" s="182"/>
      <c r="AMI110" s="110"/>
      <c r="AMJ110" s="110"/>
    </row>
    <row r="111" spans="1:1024">
      <c r="A111" s="50" t="s">
        <v>99</v>
      </c>
      <c r="B111" s="36"/>
      <c r="C111" s="37">
        <f t="shared" si="7"/>
        <v>0</v>
      </c>
      <c r="D111" s="182"/>
      <c r="E111" s="182"/>
      <c r="AMI111" s="110"/>
      <c r="AMJ111" s="110"/>
    </row>
    <row r="112" spans="1:1024">
      <c r="A112" s="50" t="s">
        <v>101</v>
      </c>
      <c r="B112" s="36"/>
      <c r="C112" s="37">
        <f t="shared" si="7"/>
        <v>0</v>
      </c>
      <c r="D112" s="182"/>
      <c r="E112" s="182"/>
      <c r="AMI112" s="110"/>
      <c r="AMJ112" s="110"/>
    </row>
    <row r="113" spans="1:1024" ht="15.75">
      <c r="A113" s="52" t="s">
        <v>102</v>
      </c>
      <c r="B113" s="48">
        <f>SUM(B107:B112)</f>
        <v>471580</v>
      </c>
      <c r="C113" s="49">
        <f t="shared" ref="C113:C114" si="8">ROUND(B113,0)/B$115</f>
        <v>0.82504636271388088</v>
      </c>
      <c r="D113" s="184"/>
      <c r="E113" s="184"/>
      <c r="AMI113" s="110"/>
      <c r="AMJ113" s="110"/>
    </row>
    <row r="114" spans="1:1024" ht="15.75">
      <c r="A114" s="21" t="s">
        <v>103</v>
      </c>
      <c r="B114" s="53">
        <v>10000</v>
      </c>
      <c r="C114" s="49">
        <f t="shared" si="8"/>
        <v>1.7495363728611917E-2</v>
      </c>
      <c r="D114" s="184"/>
      <c r="E114" s="184"/>
      <c r="AMI114" s="110"/>
      <c r="AMJ114" s="110"/>
    </row>
    <row r="115" spans="1:1024" ht="15.75">
      <c r="A115" s="57" t="s">
        <v>104</v>
      </c>
      <c r="B115" s="55">
        <f>B106+B113+B114</f>
        <v>571580</v>
      </c>
      <c r="C115" s="58">
        <f>ROUND(B115,0)/$B$115</f>
        <v>1</v>
      </c>
      <c r="D115" s="182"/>
      <c r="E115" s="182"/>
      <c r="AMI115" s="110"/>
      <c r="AMJ115" s="110"/>
    </row>
    <row r="117" spans="1:1024" ht="15.75">
      <c r="A117" s="10" t="s">
        <v>105</v>
      </c>
      <c r="B117" s="181" t="str">
        <f>IF(ROUND(B115,0)&lt;&gt;G52,"plan de financement non équilibré", "OK")</f>
        <v>plan de financement non équilibré</v>
      </c>
      <c r="C117" s="181"/>
    </row>
  </sheetData>
  <mergeCells count="67">
    <mergeCell ref="A6:J6"/>
    <mergeCell ref="A9:J9"/>
    <mergeCell ref="A11:I11"/>
    <mergeCell ref="A29:R29"/>
    <mergeCell ref="A54:G54"/>
    <mergeCell ref="I54:L54"/>
    <mergeCell ref="A30:A31"/>
    <mergeCell ref="B30:B31"/>
    <mergeCell ref="E44:G44"/>
    <mergeCell ref="F57:G57"/>
    <mergeCell ref="F58:G58"/>
    <mergeCell ref="F59:G59"/>
    <mergeCell ref="F60:G60"/>
    <mergeCell ref="F61:G61"/>
    <mergeCell ref="F62:G62"/>
    <mergeCell ref="F63:G63"/>
    <mergeCell ref="F64:G64"/>
    <mergeCell ref="F65:G65"/>
    <mergeCell ref="F66:G66"/>
    <mergeCell ref="F76:G76"/>
    <mergeCell ref="F67:G67"/>
    <mergeCell ref="F68:G68"/>
    <mergeCell ref="F69:G69"/>
    <mergeCell ref="F70:G70"/>
    <mergeCell ref="F71:G71"/>
    <mergeCell ref="D114:E114"/>
    <mergeCell ref="D92:E92"/>
    <mergeCell ref="D93:E93"/>
    <mergeCell ref="D94:E94"/>
    <mergeCell ref="D95:E95"/>
    <mergeCell ref="D107:E107"/>
    <mergeCell ref="D108:E108"/>
    <mergeCell ref="D109:E109"/>
    <mergeCell ref="D110:E110"/>
    <mergeCell ref="D111:E111"/>
    <mergeCell ref="A2:J2"/>
    <mergeCell ref="A4:J4"/>
    <mergeCell ref="A5:J5"/>
    <mergeCell ref="D96:E96"/>
    <mergeCell ref="F77:G77"/>
    <mergeCell ref="F78:G78"/>
    <mergeCell ref="F79:G79"/>
    <mergeCell ref="F80:G80"/>
    <mergeCell ref="F81:G81"/>
    <mergeCell ref="A90:G90"/>
    <mergeCell ref="D91:E91"/>
    <mergeCell ref="F72:G72"/>
    <mergeCell ref="F73:G73"/>
    <mergeCell ref="F74:G74"/>
    <mergeCell ref="F75:G75"/>
    <mergeCell ref="A7:J7"/>
    <mergeCell ref="J80:K80"/>
    <mergeCell ref="B117:C117"/>
    <mergeCell ref="A3:J3"/>
    <mergeCell ref="D97:E97"/>
    <mergeCell ref="D98:E98"/>
    <mergeCell ref="D99:E99"/>
    <mergeCell ref="D100:E100"/>
    <mergeCell ref="D101:E101"/>
    <mergeCell ref="D102:E102"/>
    <mergeCell ref="D103:E103"/>
    <mergeCell ref="D104:E104"/>
    <mergeCell ref="D105:E105"/>
    <mergeCell ref="D115:E115"/>
    <mergeCell ref="D106:E106"/>
    <mergeCell ref="D112:E112"/>
    <mergeCell ref="D113:E113"/>
  </mergeCells>
  <conditionalFormatting sqref="B83:C84 B87:C88 C85:C86 J84:J88 J80">
    <cfRule type="expression" dxfId="3" priority="3">
      <formula>NOT(ISERROR(SEARCH("non équilibré",B80)))</formula>
    </cfRule>
  </conditionalFormatting>
  <conditionalFormatting sqref="B117">
    <cfRule type="expression" dxfId="2" priority="1">
      <formula>NOT(ISERROR(SEARCH("non équilibré",B117)))</formula>
    </cfRule>
  </conditionalFormatting>
  <dataValidations count="3">
    <dataValidation type="list" operator="equal" allowBlank="1" showInputMessage="1" showErrorMessage="1" prompt="Sélectionner le stade de l'opération : agrément ou clôture/solde" sqref="A9">
      <formula1>"Tableau financier prévisionnel au stade de l'agrément,Tableau financier définitif au stade du solde/clôture"</formula1>
      <formula2>0</formula2>
    </dataValidation>
    <dataValidation type="list" operator="equal" showInputMessage="1" showErrorMessage="1" prompt="Sélectionner le type de construction" sqref="B15">
      <formula1>"Construction neuve,Acquisition-Amélioration"</formula1>
    </dataValidation>
    <dataValidation type="list" operator="equal" allowBlank="1" showInputMessage="1" showErrorMessage="1" prompt="Sélectionner la modalité de répartition du HT entre surface habitable et surface utile" sqref="B30">
      <formula1>"Surface utile,Surface habitable"</formula1>
      <formula2>0</formula2>
    </dataValidation>
  </dataValidations>
  <pageMargins left="0.7" right="0.7" top="0.51180555555555496" bottom="0.51180555555555496" header="0.51180555555555496" footer="0.51180555555555496"/>
  <pageSetup paperSize="11" scale="19" firstPageNumber="0" fitToWidth="0" fitToHeight="0" orientation="landscape" horizontalDpi="300" verticalDpi="300"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8"/>
  <sheetViews>
    <sheetView topLeftCell="A3" zoomScale="70" zoomScaleNormal="70" zoomScaleSheetLayoutView="70" zoomScalePageLayoutView="40" workbookViewId="0">
      <pane xSplit="1" ySplit="20" topLeftCell="B23" activePane="bottomRight" state="frozen"/>
      <selection activeCell="A3" sqref="A3"/>
      <selection pane="topRight" activeCell="B3" sqref="B3"/>
      <selection pane="bottomLeft" activeCell="A23" sqref="A23"/>
      <selection pane="bottomRight" activeCell="BA12" sqref="BA12"/>
    </sheetView>
  </sheetViews>
  <sheetFormatPr baseColWidth="10" defaultColWidth="10.85546875" defaultRowHeight="15"/>
  <cols>
    <col min="1" max="1" width="49.42578125" style="2" customWidth="1"/>
    <col min="2" max="2" width="32.28515625" style="2" customWidth="1"/>
    <col min="3" max="3" width="29.140625" style="2" customWidth="1"/>
    <col min="4" max="4" width="38" style="2" customWidth="1"/>
    <col min="5" max="5" width="19.85546875" style="2" customWidth="1"/>
    <col min="6" max="6" width="19.140625" style="2" customWidth="1"/>
    <col min="7" max="7" width="22.5703125" style="2" customWidth="1"/>
    <col min="8" max="8" width="17.85546875" style="2" customWidth="1"/>
    <col min="9" max="9" width="26" style="2" customWidth="1"/>
    <col min="10" max="10" width="19.140625" style="2" customWidth="1"/>
    <col min="11" max="11" width="18.140625" style="2" customWidth="1"/>
    <col min="12" max="12" width="20.85546875" style="2" customWidth="1"/>
    <col min="13" max="13" width="21.85546875" style="2" customWidth="1"/>
    <col min="14" max="14" width="4.42578125" style="2" customWidth="1"/>
    <col min="15" max="15" width="12.7109375" style="2" customWidth="1"/>
    <col min="16" max="16" width="17.85546875" style="2" customWidth="1"/>
    <col min="17" max="17" width="21.85546875" style="2" customWidth="1"/>
    <col min="18" max="18" width="4.140625" style="2" customWidth="1"/>
    <col min="19" max="19" width="17.140625" style="2" customWidth="1"/>
    <col min="20" max="20" width="19.85546875" style="2" customWidth="1"/>
    <col min="21" max="21" width="5.42578125" style="2" customWidth="1"/>
    <col min="22" max="22" width="37.28515625" style="2" customWidth="1"/>
    <col min="23" max="23" width="37.5703125" style="2" customWidth="1"/>
    <col min="24" max="24" width="37.85546875" style="2" customWidth="1"/>
    <col min="25" max="25" width="16.140625" style="2" customWidth="1"/>
    <col min="26" max="26" width="13.7109375" style="2" customWidth="1"/>
    <col min="27" max="27" width="13" style="2" customWidth="1"/>
    <col min="28" max="28" width="28.42578125" style="2" customWidth="1"/>
    <col min="29" max="29" width="6.85546875" style="2" customWidth="1"/>
    <col min="30" max="30" width="16.5703125" style="2" customWidth="1"/>
    <col min="31" max="31" width="20.140625" style="2" customWidth="1"/>
    <col min="32" max="32" width="12.140625" style="2" customWidth="1"/>
    <col min="33" max="33" width="16.42578125" style="2" customWidth="1"/>
    <col min="34" max="34" width="19.140625" style="2" customWidth="1"/>
    <col min="35" max="35" width="18.85546875" style="2" customWidth="1"/>
    <col min="36" max="47" width="10.85546875" style="2"/>
    <col min="48" max="48" width="23.140625" style="2" customWidth="1"/>
    <col min="49" max="50" width="21.140625" style="2" customWidth="1"/>
    <col min="51" max="51" width="10.85546875" style="2"/>
    <col min="52" max="52" width="19.7109375" style="2" customWidth="1"/>
    <col min="53" max="53" width="25.5703125" style="2" customWidth="1"/>
    <col min="54" max="54" width="23.85546875" style="2" customWidth="1"/>
    <col min="55" max="1024" width="10.85546875" style="2"/>
    <col min="1025" max="16384" width="10.85546875" style="110"/>
  </cols>
  <sheetData>
    <row r="1" spans="1:54" s="2" customFormat="1" ht="15.75">
      <c r="A1" s="1" t="s">
        <v>0</v>
      </c>
    </row>
    <row r="2" spans="1:54" s="2" customFormat="1" ht="15.75" thickBot="1">
      <c r="A2" s="200" t="s">
        <v>1</v>
      </c>
      <c r="B2" s="200"/>
      <c r="C2" s="200"/>
      <c r="D2" s="200"/>
      <c r="E2" s="200"/>
      <c r="F2" s="200"/>
      <c r="G2" s="200"/>
      <c r="H2" s="200"/>
      <c r="I2" s="200"/>
      <c r="J2" s="200"/>
    </row>
    <row r="3" spans="1:54" s="2" customFormat="1" ht="15.75" hidden="1">
      <c r="A3" s="93" t="s">
        <v>2</v>
      </c>
    </row>
    <row r="4" spans="1:54" s="2" customFormat="1" ht="15.75" hidden="1">
      <c r="A4" s="93" t="s">
        <v>3</v>
      </c>
    </row>
    <row r="5" spans="1:54" s="2" customFormat="1" ht="15.75" hidden="1">
      <c r="A5" s="93" t="s">
        <v>4</v>
      </c>
    </row>
    <row r="6" spans="1:54" s="2" customFormat="1" ht="15.75" hidden="1">
      <c r="A6" s="93" t="s">
        <v>106</v>
      </c>
    </row>
    <row r="7" spans="1:54" s="2" customFormat="1" ht="15.75" hidden="1" thickBot="1"/>
    <row r="8" spans="1:54" s="2" customFormat="1" ht="24.95" customHeight="1" thickBot="1">
      <c r="A8" s="193" t="s">
        <v>7</v>
      </c>
      <c r="B8" s="193"/>
      <c r="C8" s="193"/>
      <c r="D8" s="193"/>
      <c r="E8" s="193"/>
      <c r="F8" s="193"/>
      <c r="G8" s="193"/>
      <c r="H8" s="193"/>
      <c r="I8" s="193"/>
      <c r="J8" s="193"/>
    </row>
    <row r="9" spans="1:54" s="2" customFormat="1" ht="16.5" thickBot="1">
      <c r="A9" s="1"/>
    </row>
    <row r="10" spans="1:54" s="2" customFormat="1" ht="33.4" customHeight="1">
      <c r="A10" s="217" t="s">
        <v>107</v>
      </c>
      <c r="B10" s="218"/>
      <c r="C10" s="218"/>
      <c r="D10" s="218"/>
      <c r="E10" s="218"/>
      <c r="F10" s="218"/>
      <c r="G10" s="218"/>
      <c r="H10" s="218"/>
      <c r="I10" s="218"/>
      <c r="J10" s="219"/>
      <c r="K10" s="3"/>
    </row>
    <row r="11" spans="1:54" s="2" customFormat="1" ht="15.75">
      <c r="A11" s="8" t="s">
        <v>9</v>
      </c>
      <c r="B11" s="165" t="s">
        <v>10</v>
      </c>
      <c r="C11" s="20"/>
      <c r="D11" s="166" t="s">
        <v>21</v>
      </c>
      <c r="E11" s="20">
        <f>E12+E13</f>
        <v>250</v>
      </c>
      <c r="F11" s="20"/>
      <c r="G11" s="111"/>
      <c r="H11" s="166" t="s">
        <v>22</v>
      </c>
      <c r="I11" s="167">
        <f>I12+I13</f>
        <v>335</v>
      </c>
      <c r="J11" s="11"/>
      <c r="AW11" s="2" t="s">
        <v>108</v>
      </c>
      <c r="AX11" s="2" t="s">
        <v>12</v>
      </c>
      <c r="AY11" s="2" t="s">
        <v>165</v>
      </c>
      <c r="BA11" s="2" t="s">
        <v>109</v>
      </c>
      <c r="BB11" s="2" t="s">
        <v>12</v>
      </c>
    </row>
    <row r="12" spans="1:54" s="2" customFormat="1" ht="15.75">
      <c r="A12" s="8" t="s">
        <v>13</v>
      </c>
      <c r="B12" s="165"/>
      <c r="C12" s="20"/>
      <c r="D12" s="166" t="s">
        <v>110</v>
      </c>
      <c r="E12" s="20">
        <f>ROUND(E14+E16+E19,2)</f>
        <v>180</v>
      </c>
      <c r="F12" s="111"/>
      <c r="G12" s="111"/>
      <c r="H12" s="166" t="s">
        <v>111</v>
      </c>
      <c r="I12" s="167">
        <f>ROUND(I14+I16+I19,2)</f>
        <v>200</v>
      </c>
      <c r="J12" s="11"/>
      <c r="AV12" s="2" t="s">
        <v>14</v>
      </c>
      <c r="AW12" s="60">
        <f>I16/I11</f>
        <v>0.20895522388059701</v>
      </c>
      <c r="AX12" s="60">
        <f>I16/(I16+I14)</f>
        <v>0.51851851851851849</v>
      </c>
      <c r="AY12" s="60">
        <f>I17/I11</f>
        <v>0</v>
      </c>
      <c r="AZ12" s="2" t="s">
        <v>14</v>
      </c>
      <c r="BA12" s="60">
        <f>I18/I11</f>
        <v>0.20895522388059701</v>
      </c>
      <c r="BB12" s="60">
        <f>I18/(I18+I15)</f>
        <v>0.51851851851851849</v>
      </c>
    </row>
    <row r="13" spans="1:54" s="2" customFormat="1" ht="15.75">
      <c r="A13" s="8" t="s">
        <v>15</v>
      </c>
      <c r="B13" s="165"/>
      <c r="C13" s="20"/>
      <c r="D13" s="166" t="s">
        <v>112</v>
      </c>
      <c r="E13" s="20">
        <f>ROUND(E15+E18,2)</f>
        <v>70</v>
      </c>
      <c r="F13" s="20"/>
      <c r="G13" s="111"/>
      <c r="H13" s="166" t="s">
        <v>113</v>
      </c>
      <c r="I13" s="167">
        <f>ROUND(I15+I18,2)</f>
        <v>135</v>
      </c>
      <c r="J13" s="11"/>
      <c r="AV13" s="2" t="s">
        <v>16</v>
      </c>
      <c r="AW13" s="60">
        <f>E16/E11</f>
        <v>0.28000000000000003</v>
      </c>
      <c r="AX13" s="60">
        <f>E16/(E16+E14)</f>
        <v>0.51851851851851849</v>
      </c>
      <c r="AY13" s="60">
        <f>E17/E11</f>
        <v>0</v>
      </c>
      <c r="AZ13" s="2" t="s">
        <v>16</v>
      </c>
      <c r="BA13" s="60">
        <f>E18/E13</f>
        <v>1</v>
      </c>
      <c r="BB13" s="60">
        <f>E18/(E18+E15)</f>
        <v>1</v>
      </c>
    </row>
    <row r="14" spans="1:54" s="2" customFormat="1" ht="15.75">
      <c r="A14" s="12" t="s">
        <v>17</v>
      </c>
      <c r="B14" s="168" t="s">
        <v>18</v>
      </c>
      <c r="C14" s="20"/>
      <c r="D14" s="88" t="s">
        <v>114</v>
      </c>
      <c r="E14" s="165">
        <v>65</v>
      </c>
      <c r="F14" s="111"/>
      <c r="G14" s="111"/>
      <c r="H14" s="88" t="s">
        <v>115</v>
      </c>
      <c r="I14" s="169">
        <v>65</v>
      </c>
      <c r="J14" s="11"/>
      <c r="AW14" s="2" t="s">
        <v>19</v>
      </c>
    </row>
    <row r="15" spans="1:54" s="2" customFormat="1">
      <c r="A15" s="8" t="s">
        <v>20</v>
      </c>
      <c r="B15" s="20">
        <f>SUM(B16:B21)-B20</f>
        <v>4</v>
      </c>
      <c r="C15" s="111"/>
      <c r="D15" s="88" t="s">
        <v>116</v>
      </c>
      <c r="E15" s="165"/>
      <c r="F15" s="111"/>
      <c r="G15" s="111"/>
      <c r="H15" s="88" t="s">
        <v>117</v>
      </c>
      <c r="I15" s="169">
        <v>65</v>
      </c>
      <c r="J15" s="11"/>
      <c r="AV15" s="2" t="s">
        <v>14</v>
      </c>
      <c r="AW15" s="60">
        <f>I19/I11</f>
        <v>0.19402985074626866</v>
      </c>
    </row>
    <row r="16" spans="1:54" s="2" customFormat="1">
      <c r="A16" s="8" t="s">
        <v>118</v>
      </c>
      <c r="B16" s="165">
        <v>1</v>
      </c>
      <c r="C16" s="111"/>
      <c r="D16" s="88" t="s">
        <v>119</v>
      </c>
      <c r="E16" s="165">
        <v>70</v>
      </c>
      <c r="F16" s="111"/>
      <c r="G16" s="111"/>
      <c r="H16" s="170" t="s">
        <v>120</v>
      </c>
      <c r="I16" s="169">
        <v>70</v>
      </c>
      <c r="J16" s="11"/>
      <c r="AV16" s="2" t="s">
        <v>16</v>
      </c>
      <c r="AW16" s="60">
        <f>E19/E11</f>
        <v>0.18</v>
      </c>
    </row>
    <row r="17" spans="1:54">
      <c r="A17" s="8" t="s">
        <v>121</v>
      </c>
      <c r="B17" s="165"/>
      <c r="C17" s="111"/>
      <c r="D17" s="88" t="s">
        <v>30</v>
      </c>
      <c r="E17" s="165"/>
      <c r="F17" s="111"/>
      <c r="G17" s="111"/>
      <c r="H17" s="170" t="s">
        <v>31</v>
      </c>
      <c r="I17" s="169"/>
      <c r="J17" s="11"/>
    </row>
    <row r="18" spans="1:54">
      <c r="A18" s="8" t="s">
        <v>122</v>
      </c>
      <c r="B18" s="165"/>
      <c r="C18" s="111"/>
      <c r="D18" s="88" t="s">
        <v>123</v>
      </c>
      <c r="E18" s="165">
        <v>70</v>
      </c>
      <c r="F18" s="111"/>
      <c r="G18" s="111"/>
      <c r="H18" s="170" t="s">
        <v>124</v>
      </c>
      <c r="I18" s="169">
        <v>70</v>
      </c>
      <c r="J18" s="11"/>
      <c r="AW18" s="2" t="s">
        <v>125</v>
      </c>
      <c r="BA18" s="2" t="s">
        <v>126</v>
      </c>
    </row>
    <row r="19" spans="1:54">
      <c r="A19" s="8" t="s">
        <v>127</v>
      </c>
      <c r="B19" s="165">
        <v>2</v>
      </c>
      <c r="C19" s="111"/>
      <c r="D19" s="88" t="s">
        <v>34</v>
      </c>
      <c r="E19" s="165">
        <v>45</v>
      </c>
      <c r="F19" s="111"/>
      <c r="G19" s="111"/>
      <c r="H19" s="88" t="s">
        <v>35</v>
      </c>
      <c r="I19" s="169">
        <v>65</v>
      </c>
      <c r="J19" s="11"/>
      <c r="AV19" s="2" t="s">
        <v>14</v>
      </c>
      <c r="AW19" s="60">
        <f>I14/I11</f>
        <v>0.19402985074626866</v>
      </c>
      <c r="AZ19" s="2" t="s">
        <v>14</v>
      </c>
      <c r="BA19" s="60">
        <f>I15/I11</f>
        <v>0.19402985074626866</v>
      </c>
    </row>
    <row r="20" spans="1:54">
      <c r="A20" s="8" t="s">
        <v>29</v>
      </c>
      <c r="B20" s="165">
        <v>1</v>
      </c>
      <c r="C20" s="111"/>
      <c r="D20" s="111"/>
      <c r="E20" s="171"/>
      <c r="F20" s="111"/>
      <c r="G20" s="111"/>
      <c r="H20" s="111"/>
      <c r="I20" s="167"/>
      <c r="J20" s="11"/>
      <c r="AV20" s="2" t="s">
        <v>16</v>
      </c>
      <c r="AW20" s="60">
        <f>E14/E11</f>
        <v>0.26</v>
      </c>
      <c r="AZ20" s="2" t="s">
        <v>16</v>
      </c>
      <c r="BA20" s="60">
        <f>E15/E13</f>
        <v>0</v>
      </c>
    </row>
    <row r="21" spans="1:54" ht="15.75">
      <c r="A21" s="8" t="s">
        <v>33</v>
      </c>
      <c r="B21" s="165">
        <v>1</v>
      </c>
      <c r="C21" s="111"/>
      <c r="D21" s="88" t="s">
        <v>36</v>
      </c>
      <c r="E21" s="87"/>
      <c r="F21" s="113"/>
      <c r="G21" s="111"/>
      <c r="H21" s="111"/>
      <c r="I21" s="111"/>
      <c r="J21" s="11"/>
    </row>
    <row r="22" spans="1:54" ht="15.75" thickBot="1">
      <c r="A22" s="131"/>
      <c r="B22" s="115"/>
      <c r="C22" s="115"/>
      <c r="D22" s="172"/>
      <c r="E22" s="132"/>
      <c r="F22" s="132"/>
      <c r="G22" s="115"/>
      <c r="H22" s="115"/>
      <c r="I22" s="115"/>
      <c r="J22" s="133"/>
    </row>
    <row r="23" spans="1:54" ht="16.5" customHeight="1">
      <c r="D23" s="117"/>
      <c r="E23" s="118"/>
      <c r="F23" s="119"/>
    </row>
    <row r="24" spans="1:54" ht="16.5" customHeight="1">
      <c r="A24" s="14" t="s">
        <v>37</v>
      </c>
      <c r="B24" s="134">
        <v>5.5E-2</v>
      </c>
      <c r="C24" s="134"/>
      <c r="AV24" s="2" t="str">
        <f>IF(B14="Acquisition-amélioration","","Autres")</f>
        <v>Autres</v>
      </c>
    </row>
    <row r="25" spans="1:54" ht="16.5" customHeight="1">
      <c r="A25" s="14" t="s">
        <v>128</v>
      </c>
      <c r="B25" s="135">
        <f>IF(OR(B14="Acquisition-amélioration",(B16+B18&gt;=B17+B19)),5.5%,10%)</f>
        <v>0.1</v>
      </c>
      <c r="C25" s="110"/>
      <c r="AV25" s="2" t="str">
        <f>IF(B14="Acquisition-amélioration","","Reconstitution NPNRU")</f>
        <v>Reconstitution NPNRU</v>
      </c>
    </row>
    <row r="26" spans="1:54" ht="16.5" customHeight="1">
      <c r="A26" s="14" t="s">
        <v>39</v>
      </c>
      <c r="B26" s="134">
        <v>0.1</v>
      </c>
      <c r="C26" s="136"/>
      <c r="AV26" s="2" t="str">
        <f>IF(B14="Acquisition-amélioration","","Opération mixte où les PLUS/PLAI financés par l'ANRU représentant au moins 50% de l'ensemble des PLUS-PLAI de l'opération")</f>
        <v>Opération mixte où les PLUS/PLAI financés par l'ANRU représentant au moins 50% de l'ensemble des PLUS-PLAI de l'opération</v>
      </c>
    </row>
    <row r="27" spans="1:54" ht="22.5" customHeight="1">
      <c r="S27" s="17"/>
      <c r="T27" s="17"/>
      <c r="U27" s="17"/>
      <c r="V27" s="17"/>
      <c r="W27" s="17"/>
      <c r="X27" s="17"/>
      <c r="Y27" s="17"/>
      <c r="AV27" s="2" t="s">
        <v>41</v>
      </c>
      <c r="BB27" s="17"/>
    </row>
    <row r="28" spans="1:54" ht="16.5" customHeight="1">
      <c r="A28" s="216" t="s">
        <v>129</v>
      </c>
      <c r="B28" s="216"/>
      <c r="C28" s="216"/>
      <c r="E28" s="202" t="s">
        <v>130</v>
      </c>
      <c r="F28" s="202"/>
      <c r="G28" s="202"/>
      <c r="H28" s="202"/>
      <c r="I28" s="202"/>
      <c r="J28" s="202"/>
      <c r="K28" s="202"/>
      <c r="L28" s="202"/>
      <c r="M28" s="202"/>
      <c r="N28" s="202"/>
      <c r="O28" s="202"/>
      <c r="P28" s="202"/>
      <c r="Q28" s="202"/>
      <c r="R28" s="202"/>
      <c r="S28" s="202"/>
      <c r="T28" s="202"/>
      <c r="V28" s="211" t="s">
        <v>131</v>
      </c>
      <c r="W28" s="211"/>
      <c r="X28" s="211"/>
      <c r="Y28" s="211"/>
      <c r="Z28" s="211"/>
      <c r="AA28" s="211"/>
      <c r="AB28" s="211"/>
      <c r="AC28" s="211"/>
      <c r="AD28" s="211"/>
      <c r="AE28" s="211"/>
    </row>
    <row r="29" spans="1:54" ht="30.75" customHeight="1">
      <c r="A29" s="140" t="s">
        <v>167</v>
      </c>
      <c r="B29" s="137" t="s">
        <v>14</v>
      </c>
      <c r="V29" s="18"/>
    </row>
    <row r="30" spans="1:54" s="2" customFormat="1" ht="16.5" customHeight="1">
      <c r="A30" s="90"/>
      <c r="B30" s="216" t="s">
        <v>176</v>
      </c>
      <c r="C30" s="216"/>
      <c r="E30" s="212" t="s">
        <v>132</v>
      </c>
      <c r="F30" s="213"/>
      <c r="G30" s="214"/>
      <c r="H30" s="212" t="s">
        <v>133</v>
      </c>
      <c r="I30" s="213"/>
      <c r="J30" s="214"/>
      <c r="K30" s="215" t="s">
        <v>134</v>
      </c>
      <c r="L30" s="214"/>
      <c r="M30" s="214"/>
      <c r="O30" s="212" t="s">
        <v>135</v>
      </c>
      <c r="P30" s="213"/>
      <c r="Q30" s="214"/>
      <c r="S30" s="202" t="s">
        <v>136</v>
      </c>
      <c r="T30" s="202"/>
      <c r="V30" s="207" t="s">
        <v>137</v>
      </c>
      <c r="W30" s="208"/>
      <c r="X30" s="209"/>
      <c r="Z30" s="207" t="s">
        <v>138</v>
      </c>
      <c r="AA30" s="208"/>
      <c r="AB30" s="209"/>
      <c r="AD30" s="207" t="s">
        <v>139</v>
      </c>
      <c r="AE30" s="209"/>
      <c r="AG30" s="210"/>
      <c r="AH30" s="210"/>
      <c r="AI30" s="210"/>
    </row>
    <row r="31" spans="1:54" ht="16.5" customHeight="1">
      <c r="A31" s="19"/>
      <c r="B31" s="97" t="s">
        <v>140</v>
      </c>
      <c r="C31" s="97" t="s">
        <v>141</v>
      </c>
      <c r="E31" s="141" t="s">
        <v>49</v>
      </c>
      <c r="F31" s="19" t="s">
        <v>50</v>
      </c>
      <c r="G31" s="138" t="s">
        <v>51</v>
      </c>
      <c r="H31" s="141" t="s">
        <v>52</v>
      </c>
      <c r="I31" s="19" t="s">
        <v>53</v>
      </c>
      <c r="J31" s="138" t="s">
        <v>54</v>
      </c>
      <c r="K31" s="141" t="s">
        <v>55</v>
      </c>
      <c r="L31" s="19" t="s">
        <v>56</v>
      </c>
      <c r="M31" s="138" t="s">
        <v>57</v>
      </c>
      <c r="O31" s="141" t="s">
        <v>58</v>
      </c>
      <c r="P31" s="19" t="s">
        <v>59</v>
      </c>
      <c r="Q31" s="138" t="s">
        <v>60</v>
      </c>
      <c r="S31" s="61" t="s">
        <v>140</v>
      </c>
      <c r="T31" s="61" t="s">
        <v>141</v>
      </c>
      <c r="V31" s="141" t="s">
        <v>49</v>
      </c>
      <c r="W31" s="19" t="s">
        <v>50</v>
      </c>
      <c r="X31" s="138" t="s">
        <v>51</v>
      </c>
      <c r="Z31" s="141" t="s">
        <v>52</v>
      </c>
      <c r="AA31" s="19" t="s">
        <v>53</v>
      </c>
      <c r="AB31" s="138" t="s">
        <v>54</v>
      </c>
      <c r="AD31" s="147" t="s">
        <v>142</v>
      </c>
      <c r="AE31" s="148" t="s">
        <v>141</v>
      </c>
    </row>
    <row r="32" spans="1:54" ht="16.5" customHeight="1">
      <c r="A32" s="21" t="s">
        <v>61</v>
      </c>
      <c r="B32" s="53">
        <v>300000</v>
      </c>
      <c r="C32" s="107">
        <f>ROUND(T32+AE32,0)</f>
        <v>321740</v>
      </c>
      <c r="E32" s="142">
        <f>ROUND(B32*IF($B$29="Surface utile",$AW$12,$AW$13),0)</f>
        <v>62687</v>
      </c>
      <c r="F32" s="63">
        <f>ROUND(E32*$B$24,0)</f>
        <v>3448</v>
      </c>
      <c r="G32" s="64">
        <f>ROUND(E32+F32,0)</f>
        <v>66135</v>
      </c>
      <c r="H32" s="142">
        <f>ROUND(B32*IF($B$29="Surface utile",$AW$19,$AW$20),0)</f>
        <v>58209</v>
      </c>
      <c r="I32" s="63">
        <f>ROUND(H32*$B$25,0)</f>
        <v>5821</v>
      </c>
      <c r="J32" s="64">
        <f>ROUND(H32+I32,0)</f>
        <v>64030</v>
      </c>
      <c r="K32" s="142">
        <f>E32+H32</f>
        <v>120896</v>
      </c>
      <c r="L32" s="63">
        <f>F32+I32</f>
        <v>9269</v>
      </c>
      <c r="M32" s="64">
        <f>ROUND(K32+L32,0)</f>
        <v>130165</v>
      </c>
      <c r="N32" s="65"/>
      <c r="O32" s="142">
        <f>ROUND(B32*IF($B$29="Surface utile",$AW$15,$AW$16),0)</f>
        <v>58209</v>
      </c>
      <c r="P32" s="63">
        <f>ROUND(O32*$B$26,0)</f>
        <v>5821</v>
      </c>
      <c r="Q32" s="64">
        <f>ROUND(O32+P32,0)</f>
        <v>64030</v>
      </c>
      <c r="R32" s="65"/>
      <c r="S32" s="55">
        <f>K32+O32</f>
        <v>179105</v>
      </c>
      <c r="T32" s="55">
        <f>M32+Q32</f>
        <v>194195</v>
      </c>
      <c r="U32" s="62"/>
      <c r="V32" s="142">
        <f>ROUND(B32*IF($B$29="Surface utile",$BA$12,$BA$13),0)</f>
        <v>62687</v>
      </c>
      <c r="W32" s="63">
        <f>ROUND(V32*$B$24,0)</f>
        <v>3448</v>
      </c>
      <c r="X32" s="64">
        <f>ROUND(V32+W32,0)</f>
        <v>66135</v>
      </c>
      <c r="Y32" s="65"/>
      <c r="Z32" s="142">
        <f>ROUND(B32*IF($B$29="Surface utile",$BA$19,$BA$20),0)</f>
        <v>58209</v>
      </c>
      <c r="AA32" s="63">
        <f>ROUND(Z32*$B$24,0)</f>
        <v>3201</v>
      </c>
      <c r="AB32" s="64">
        <f>ROUND(Z32+AA32,0)</f>
        <v>61410</v>
      </c>
      <c r="AC32" s="65"/>
      <c r="AD32" s="149">
        <f>V32+Z32</f>
        <v>120896</v>
      </c>
      <c r="AE32" s="150">
        <f>X32+AB32</f>
        <v>127545</v>
      </c>
    </row>
    <row r="33" spans="1:35" ht="16.5" customHeight="1">
      <c r="A33" s="29" t="s">
        <v>62</v>
      </c>
      <c r="B33" s="53"/>
      <c r="C33" s="107"/>
      <c r="E33" s="142"/>
      <c r="F33" s="63"/>
      <c r="G33" s="64"/>
      <c r="H33" s="142"/>
      <c r="I33" s="63"/>
      <c r="J33" s="64"/>
      <c r="K33" s="142"/>
      <c r="L33" s="63"/>
      <c r="M33" s="64"/>
      <c r="N33" s="65"/>
      <c r="O33" s="142"/>
      <c r="P33" s="63"/>
      <c r="Q33" s="64"/>
      <c r="R33" s="65"/>
      <c r="S33" s="55"/>
      <c r="T33" s="55"/>
      <c r="U33" s="65"/>
      <c r="V33" s="142"/>
      <c r="W33" s="63"/>
      <c r="X33" s="64"/>
      <c r="Y33" s="65"/>
      <c r="Z33" s="142"/>
      <c r="AA33" s="63"/>
      <c r="AB33" s="64"/>
      <c r="AC33" s="65"/>
      <c r="AD33" s="149"/>
      <c r="AE33" s="150"/>
    </row>
    <row r="34" spans="1:35" ht="16.5" customHeight="1">
      <c r="A34" s="21" t="s">
        <v>63</v>
      </c>
      <c r="B34" s="53">
        <v>400000</v>
      </c>
      <c r="C34" s="107">
        <f>ROUND(T34+AE34,0)</f>
        <v>428985</v>
      </c>
      <c r="E34" s="142">
        <f>ROUND(B34*IF($B$29="Surface utile",$AW$12,$AW$13),0)</f>
        <v>83582</v>
      </c>
      <c r="F34" s="63">
        <f>ROUND(E34*$B$24,0)</f>
        <v>4597</v>
      </c>
      <c r="G34" s="64">
        <f>ROUND(E34+F34,0)</f>
        <v>88179</v>
      </c>
      <c r="H34" s="142">
        <f>ROUND(B34*IF($B$29="Surface utile",$AW$19,$AW$20),0)</f>
        <v>77612</v>
      </c>
      <c r="I34" s="63">
        <f>ROUND(H34*$B$25,0)</f>
        <v>7761</v>
      </c>
      <c r="J34" s="64">
        <f>ROUND(H34+I34,0)</f>
        <v>85373</v>
      </c>
      <c r="K34" s="142">
        <f>E34+H34</f>
        <v>161194</v>
      </c>
      <c r="L34" s="63">
        <f>F34+I34</f>
        <v>12358</v>
      </c>
      <c r="M34" s="64">
        <f>ROUND(K34+L34,0)</f>
        <v>173552</v>
      </c>
      <c r="N34" s="65"/>
      <c r="O34" s="142">
        <f>ROUND(B34*IF($B$29="Surface utile",$AW$15,$AW$16),0)</f>
        <v>77612</v>
      </c>
      <c r="P34" s="63">
        <f>ROUND(O34*$B$26,0)</f>
        <v>7761</v>
      </c>
      <c r="Q34" s="64">
        <f>ROUND(O34+P34,0)</f>
        <v>85373</v>
      </c>
      <c r="R34" s="65"/>
      <c r="S34" s="55">
        <f>K34+O34</f>
        <v>238806</v>
      </c>
      <c r="T34" s="55">
        <f t="shared" ref="S34:T39" si="0">M34+Q34</f>
        <v>258925</v>
      </c>
      <c r="U34" s="65"/>
      <c r="V34" s="142">
        <f>ROUND(B34*IF($B$29="Surface utile",$BA$12,$BA$13),0)</f>
        <v>83582</v>
      </c>
      <c r="W34" s="63">
        <f>ROUND(V34*$B$24,0)</f>
        <v>4597</v>
      </c>
      <c r="X34" s="64">
        <f>ROUND(V34+W34,0)</f>
        <v>88179</v>
      </c>
      <c r="Y34" s="65"/>
      <c r="Z34" s="142">
        <f>ROUND(B34*IF($B$29="Surface utile",$BA$19,$BA$20),0)</f>
        <v>77612</v>
      </c>
      <c r="AA34" s="63">
        <f>ROUND(Z34*$B$24,0)</f>
        <v>4269</v>
      </c>
      <c r="AB34" s="64">
        <f>ROUND(Z34+AA34,0)</f>
        <v>81881</v>
      </c>
      <c r="AC34" s="65"/>
      <c r="AD34" s="149">
        <f>V34+Z34</f>
        <v>161194</v>
      </c>
      <c r="AE34" s="150">
        <f t="shared" ref="AD34:AE39" si="1">X34+AB34</f>
        <v>170060</v>
      </c>
    </row>
    <row r="35" spans="1:35" s="96" customFormat="1" ht="33" customHeight="1">
      <c r="A35" s="21" t="s">
        <v>64</v>
      </c>
      <c r="B35" s="53">
        <v>20000</v>
      </c>
      <c r="C35" s="107">
        <f>ROUND(T35+AE35,0)</f>
        <v>21450</v>
      </c>
      <c r="D35" s="2"/>
      <c r="E35" s="142">
        <f>ROUND(B35*IF($B$29="Surface utile",$AW$12,$AW$13),0)</f>
        <v>4179</v>
      </c>
      <c r="F35" s="63">
        <f>ROUND(E35*$B$24,0)</f>
        <v>230</v>
      </c>
      <c r="G35" s="64">
        <f>ROUND(E35+F35,0)</f>
        <v>4409</v>
      </c>
      <c r="H35" s="142">
        <f>ROUND(B35*IF($B$29="Surface utile",$AW$19,$AW$20),0)</f>
        <v>3881</v>
      </c>
      <c r="I35" s="63">
        <f>ROUND(H35*$B$25,0)</f>
        <v>388</v>
      </c>
      <c r="J35" s="64">
        <f>ROUND(H35+I35,0)</f>
        <v>4269</v>
      </c>
      <c r="K35" s="142">
        <f>E35+H35</f>
        <v>8060</v>
      </c>
      <c r="L35" s="63">
        <f>F35+I35</f>
        <v>618</v>
      </c>
      <c r="M35" s="64">
        <f>ROUND(K35+L35,0)</f>
        <v>8678</v>
      </c>
      <c r="N35" s="65"/>
      <c r="O35" s="142">
        <f>ROUND(B35*IF($B$29="Surface utile",$AW$15,$AW$16),0)</f>
        <v>3881</v>
      </c>
      <c r="P35" s="63">
        <f>ROUND(O35*$B$26,0)</f>
        <v>388</v>
      </c>
      <c r="Q35" s="64">
        <f>ROUND(O35+P35,0)</f>
        <v>4269</v>
      </c>
      <c r="R35" s="65"/>
      <c r="S35" s="55">
        <f>K35+O35</f>
        <v>11941</v>
      </c>
      <c r="T35" s="55">
        <f t="shared" si="0"/>
        <v>12947</v>
      </c>
      <c r="U35" s="66"/>
      <c r="V35" s="142">
        <f>ROUND(B35*IF($B$29="Surface utile",$BA$12,$BA$13),0)</f>
        <v>4179</v>
      </c>
      <c r="W35" s="63">
        <f>ROUND(V35*$B$24,0)</f>
        <v>230</v>
      </c>
      <c r="X35" s="64">
        <f>ROUND(V35+W35,0)</f>
        <v>4409</v>
      </c>
      <c r="Y35" s="65"/>
      <c r="Z35" s="142">
        <f>ROUND(B35*IF($B$29="Surface utile",$BA$19,$BA$20),0)</f>
        <v>3881</v>
      </c>
      <c r="AA35" s="63">
        <f>ROUND(Z35*$B$24,0)</f>
        <v>213</v>
      </c>
      <c r="AB35" s="64">
        <f>ROUND(Z35+AA35,0)</f>
        <v>4094</v>
      </c>
      <c r="AC35" s="65"/>
      <c r="AD35" s="149">
        <f>V35+Z35</f>
        <v>8060</v>
      </c>
      <c r="AE35" s="150">
        <f t="shared" si="1"/>
        <v>8503</v>
      </c>
      <c r="AF35" s="2"/>
      <c r="AG35" s="2"/>
      <c r="AH35" s="2"/>
      <c r="AI35" s="2"/>
    </row>
    <row r="36" spans="1:35" ht="33" customHeight="1">
      <c r="A36" s="24" t="s">
        <v>65</v>
      </c>
      <c r="B36" s="108">
        <f>B32+B34+B35</f>
        <v>720000</v>
      </c>
      <c r="C36" s="108">
        <f>C32+C34+C35</f>
        <v>772175</v>
      </c>
      <c r="E36" s="143">
        <f t="shared" ref="E36:M36" si="2">SUM(E32:E35)</f>
        <v>150448</v>
      </c>
      <c r="F36" s="26">
        <f t="shared" si="2"/>
        <v>8275</v>
      </c>
      <c r="G36" s="67">
        <f t="shared" si="2"/>
        <v>158723</v>
      </c>
      <c r="H36" s="143">
        <f t="shared" si="2"/>
        <v>139702</v>
      </c>
      <c r="I36" s="26">
        <f t="shared" si="2"/>
        <v>13970</v>
      </c>
      <c r="J36" s="67">
        <f t="shared" si="2"/>
        <v>153672</v>
      </c>
      <c r="K36" s="143">
        <f t="shared" si="2"/>
        <v>290150</v>
      </c>
      <c r="L36" s="26">
        <f t="shared" si="2"/>
        <v>22245</v>
      </c>
      <c r="M36" s="67">
        <f t="shared" si="2"/>
        <v>312395</v>
      </c>
      <c r="N36" s="65"/>
      <c r="O36" s="143">
        <f>SUM(O32:O35)</f>
        <v>139702</v>
      </c>
      <c r="P36" s="26">
        <f>SUM(P32:P35)</f>
        <v>13970</v>
      </c>
      <c r="Q36" s="67">
        <f>SUM(Q32:Q35)</f>
        <v>153672</v>
      </c>
      <c r="R36" s="65"/>
      <c r="S36" s="55">
        <f>K36+O36</f>
        <v>429852</v>
      </c>
      <c r="T36" s="55">
        <f t="shared" si="0"/>
        <v>466067</v>
      </c>
      <c r="U36" s="65"/>
      <c r="V36" s="143">
        <f>SUM(V32:V35)</f>
        <v>150448</v>
      </c>
      <c r="W36" s="26">
        <f>SUM(W32:W35)</f>
        <v>8275</v>
      </c>
      <c r="X36" s="67">
        <f>SUM(X32:X35)</f>
        <v>158723</v>
      </c>
      <c r="Y36" s="68"/>
      <c r="Z36" s="143">
        <f>SUM(Z32:Z35)</f>
        <v>139702</v>
      </c>
      <c r="AA36" s="26">
        <f>SUM(AA32:AA35)</f>
        <v>7683</v>
      </c>
      <c r="AB36" s="67">
        <f>SUM(AB32:AB35)</f>
        <v>147385</v>
      </c>
      <c r="AC36" s="65"/>
      <c r="AD36" s="149">
        <f>V36+Z36</f>
        <v>290150</v>
      </c>
      <c r="AE36" s="150">
        <f t="shared" si="1"/>
        <v>306108</v>
      </c>
      <c r="AG36" s="10"/>
      <c r="AH36" s="10"/>
      <c r="AI36" s="10"/>
    </row>
    <row r="37" spans="1:35" ht="33" customHeight="1">
      <c r="A37" s="29" t="s">
        <v>174</v>
      </c>
      <c r="B37" s="109"/>
      <c r="C37" s="107">
        <f>ROUND(T37+AE37,0)</f>
        <v>0</v>
      </c>
      <c r="E37" s="142">
        <f>ROUND(B37*IF($B$29="Surface utile",$AW$12,$AW$13),0)</f>
        <v>0</v>
      </c>
      <c r="F37" s="63">
        <f>ROUND(E37*$B$24,0)</f>
        <v>0</v>
      </c>
      <c r="G37" s="64">
        <f>ROUND(E37+F37,0)</f>
        <v>0</v>
      </c>
      <c r="H37" s="142">
        <f>ROUND(B37*IF($B$29="Surface utile",$AW$19,$AW$20),0)</f>
        <v>0</v>
      </c>
      <c r="I37" s="63">
        <f>ROUND(H37*$B$25,0)</f>
        <v>0</v>
      </c>
      <c r="J37" s="64">
        <f>ROUND(H37+I37,0)</f>
        <v>0</v>
      </c>
      <c r="K37" s="142">
        <f>E37+H37</f>
        <v>0</v>
      </c>
      <c r="L37" s="63">
        <f>F37+I37</f>
        <v>0</v>
      </c>
      <c r="M37" s="64">
        <f>ROUND(K37+L37,0)</f>
        <v>0</v>
      </c>
      <c r="N37" s="65"/>
      <c r="O37" s="142">
        <f>ROUND(B37*IF($B$29="Surface utile",$AW$15,$AW$16),0)</f>
        <v>0</v>
      </c>
      <c r="P37" s="63">
        <f>ROUND(O37*$B$26,0)</f>
        <v>0</v>
      </c>
      <c r="Q37" s="64">
        <f>ROUND(O37+P37,0)</f>
        <v>0</v>
      </c>
      <c r="R37" s="65"/>
      <c r="S37" s="55">
        <f>K37+O37</f>
        <v>0</v>
      </c>
      <c r="T37" s="55">
        <f>M37+Q37</f>
        <v>0</v>
      </c>
      <c r="U37" s="65"/>
      <c r="V37" s="142">
        <f>ROUND(B37*IF($B$29="Surface utile",$BA$12,$BA$13),0)</f>
        <v>0</v>
      </c>
      <c r="W37" s="63">
        <f>ROUND(V37*$B$24,0)</f>
        <v>0</v>
      </c>
      <c r="X37" s="64">
        <f>ROUND(V37+W37,0)</f>
        <v>0</v>
      </c>
      <c r="Y37" s="68"/>
      <c r="Z37" s="142">
        <f>ROUND(B37*IF($B$29="Surface utile",$BA$19,$BA$20),0)</f>
        <v>0</v>
      </c>
      <c r="AA37" s="63">
        <f>ROUND(Z37*$B$24,0)</f>
        <v>0</v>
      </c>
      <c r="AB37" s="64">
        <f>ROUND(Z37+AA37,0)</f>
        <v>0</v>
      </c>
      <c r="AC37" s="65"/>
      <c r="AD37" s="149">
        <f>V37+Z37</f>
        <v>0</v>
      </c>
      <c r="AE37" s="150">
        <f>X37+AB37</f>
        <v>0</v>
      </c>
      <c r="AG37" s="10"/>
      <c r="AH37" s="10"/>
      <c r="AI37" s="10"/>
    </row>
    <row r="38" spans="1:35" ht="23.1" customHeight="1">
      <c r="A38" s="29" t="s">
        <v>175</v>
      </c>
      <c r="B38" s="153"/>
      <c r="C38" s="139"/>
      <c r="E38" s="220">
        <f>G38</f>
        <v>0</v>
      </c>
      <c r="F38" s="123"/>
      <c r="G38" s="67">
        <f>ROUND(C38*IF($B$29="Surface utile",$AW$12,$AW$13),0)</f>
        <v>0</v>
      </c>
      <c r="H38" s="220">
        <f>J38</f>
        <v>0</v>
      </c>
      <c r="I38" s="123"/>
      <c r="J38" s="67">
        <f>ROUND(C38*IF($B$29="Surface utile",$AW$19,$AW$20),0)</f>
        <v>0</v>
      </c>
      <c r="K38" s="220">
        <f>M38</f>
        <v>0</v>
      </c>
      <c r="L38" s="123"/>
      <c r="M38" s="67">
        <f>G38+J38</f>
        <v>0</v>
      </c>
      <c r="O38" s="220">
        <f>Q38</f>
        <v>0</v>
      </c>
      <c r="P38" s="123"/>
      <c r="Q38" s="67">
        <f>ROUND(C38*IF($B$29="Surface utile",$AW$15,$AW$16),0)</f>
        <v>0</v>
      </c>
      <c r="S38" s="55">
        <f>T38</f>
        <v>0</v>
      </c>
      <c r="T38" s="55">
        <f>M38+Q38</f>
        <v>0</v>
      </c>
      <c r="V38" s="220">
        <f>X38</f>
        <v>0</v>
      </c>
      <c r="W38" s="123"/>
      <c r="X38" s="67">
        <f>ROUND(C38*IF($B$29="Surface utile",$BA$12,$BA$13),0)</f>
        <v>0</v>
      </c>
      <c r="Y38" s="10"/>
      <c r="Z38" s="220">
        <f>AB38</f>
        <v>0</v>
      </c>
      <c r="AA38" s="123"/>
      <c r="AB38" s="67">
        <f>ROUND(C38*IF($B$29="Surface utile",$BA$19,$BA$20),0)</f>
        <v>0</v>
      </c>
      <c r="AD38" s="221">
        <f>AE38</f>
        <v>0</v>
      </c>
      <c r="AE38" s="150">
        <f t="shared" si="1"/>
        <v>0</v>
      </c>
      <c r="AG38" s="10"/>
      <c r="AH38" s="10"/>
      <c r="AI38" s="10"/>
    </row>
    <row r="39" spans="1:35" ht="31.35" customHeight="1">
      <c r="A39" s="30" t="s">
        <v>66</v>
      </c>
      <c r="B39" s="107">
        <f>B36+B38</f>
        <v>720000</v>
      </c>
      <c r="C39" s="107">
        <f>ROUND(C36+C38+C37,0)</f>
        <v>772175</v>
      </c>
      <c r="E39" s="144">
        <f>E37+E36+E38</f>
        <v>150448</v>
      </c>
      <c r="F39" s="145">
        <f>F37+F36+F38</f>
        <v>8275</v>
      </c>
      <c r="G39" s="146">
        <f>G37+G36+G38</f>
        <v>158723</v>
      </c>
      <c r="H39" s="144">
        <f>H37+H36+H38</f>
        <v>139702</v>
      </c>
      <c r="I39" s="145">
        <f>I37+I36+I38</f>
        <v>13970</v>
      </c>
      <c r="J39" s="146">
        <f>J37+J36+J38</f>
        <v>153672</v>
      </c>
      <c r="K39" s="144">
        <f>K37+K36+K38</f>
        <v>290150</v>
      </c>
      <c r="L39" s="145">
        <f>L37+L36+L38</f>
        <v>22245</v>
      </c>
      <c r="M39" s="146">
        <f>M37+M36+M38</f>
        <v>312395</v>
      </c>
      <c r="O39" s="144">
        <f>O37+O36+O38</f>
        <v>139702</v>
      </c>
      <c r="P39" s="145">
        <f>P37+P36+P38</f>
        <v>13970</v>
      </c>
      <c r="Q39" s="146">
        <f>Q37+Q36+Q38</f>
        <v>153672</v>
      </c>
      <c r="S39" s="55">
        <f>K39+O39</f>
        <v>429852</v>
      </c>
      <c r="T39" s="55">
        <f t="shared" si="0"/>
        <v>466067</v>
      </c>
      <c r="V39" s="144">
        <f>V37+V36+V38</f>
        <v>150448</v>
      </c>
      <c r="W39" s="145">
        <f>W37+W36+W38</f>
        <v>8275</v>
      </c>
      <c r="X39" s="146">
        <f>X37+X36+X38</f>
        <v>158723</v>
      </c>
      <c r="Y39" s="10"/>
      <c r="Z39" s="144">
        <f>Z37+Z36+Z38</f>
        <v>139702</v>
      </c>
      <c r="AA39" s="145">
        <f>AA37+AA36+AA38</f>
        <v>7683</v>
      </c>
      <c r="AB39" s="146">
        <f>AB37+AB36+AB38</f>
        <v>147385</v>
      </c>
      <c r="AD39" s="151">
        <f>V39+Z39</f>
        <v>290150</v>
      </c>
      <c r="AE39" s="152">
        <f t="shared" si="1"/>
        <v>306108</v>
      </c>
      <c r="AG39" s="10"/>
      <c r="AH39" s="10"/>
      <c r="AI39" s="10"/>
    </row>
    <row r="40" spans="1:35" ht="22.5" customHeight="1">
      <c r="A40" s="81"/>
      <c r="B40" s="22"/>
      <c r="C40" s="22"/>
      <c r="E40" s="82"/>
      <c r="F40" s="82"/>
      <c r="G40" s="82"/>
      <c r="H40" s="82"/>
      <c r="I40" s="82"/>
      <c r="J40" s="82"/>
      <c r="K40" s="82"/>
      <c r="L40" s="82"/>
      <c r="M40" s="82"/>
      <c r="O40" s="82"/>
      <c r="P40" s="82"/>
      <c r="Q40" s="82"/>
      <c r="S40" s="86"/>
      <c r="T40" s="86"/>
      <c r="V40" s="82"/>
      <c r="W40" s="82"/>
      <c r="X40" s="82"/>
      <c r="Y40" s="10"/>
      <c r="Z40" s="82"/>
      <c r="AA40" s="82"/>
      <c r="AB40" s="82"/>
      <c r="AD40" s="86"/>
      <c r="AE40" s="86"/>
      <c r="AG40" s="10"/>
      <c r="AH40" s="10"/>
      <c r="AI40" s="10"/>
    </row>
    <row r="41" spans="1:35" ht="22.5" customHeight="1">
      <c r="A41" s="81"/>
      <c r="B41" s="22"/>
      <c r="C41" s="22"/>
      <c r="D41" s="22"/>
      <c r="E41" s="226" t="s">
        <v>156</v>
      </c>
      <c r="F41" s="227"/>
      <c r="G41" s="228"/>
      <c r="H41" s="82"/>
      <c r="I41" s="82"/>
      <c r="J41" s="82"/>
      <c r="K41" s="82"/>
      <c r="L41" s="82"/>
      <c r="M41" s="82"/>
      <c r="O41" s="82"/>
      <c r="P41" s="82"/>
      <c r="Q41" s="82"/>
      <c r="S41" s="86"/>
      <c r="T41" s="86"/>
      <c r="V41" s="82"/>
      <c r="W41" s="82"/>
      <c r="X41" s="82"/>
      <c r="Y41" s="10"/>
      <c r="Z41" s="82"/>
      <c r="AA41" s="82"/>
      <c r="AB41" s="82"/>
      <c r="AD41" s="86"/>
      <c r="AE41" s="86"/>
      <c r="AG41" s="10"/>
      <c r="AH41" s="10"/>
      <c r="AI41" s="10"/>
    </row>
    <row r="42" spans="1:35" ht="22.5" customHeight="1">
      <c r="A42" s="81"/>
      <c r="B42" s="22"/>
      <c r="C42" s="22"/>
      <c r="D42" s="22"/>
      <c r="E42" s="147" t="s">
        <v>157</v>
      </c>
      <c r="F42" s="173" t="s">
        <v>158</v>
      </c>
      <c r="G42" s="148" t="s">
        <v>159</v>
      </c>
      <c r="H42" s="82"/>
      <c r="I42" s="82"/>
      <c r="J42" s="82"/>
      <c r="K42" s="82"/>
      <c r="L42" s="82"/>
      <c r="M42" s="82"/>
      <c r="O42" s="82"/>
      <c r="P42" s="82"/>
      <c r="Q42" s="82"/>
      <c r="S42" s="86"/>
      <c r="T42" s="86"/>
      <c r="V42" s="82"/>
      <c r="W42" s="82"/>
      <c r="X42" s="82"/>
      <c r="Y42" s="10"/>
      <c r="Z42" s="82"/>
      <c r="AA42" s="82"/>
      <c r="AB42" s="82"/>
      <c r="AD42" s="86"/>
      <c r="AE42" s="86"/>
      <c r="AG42" s="10"/>
      <c r="AH42" s="10"/>
      <c r="AI42" s="10"/>
    </row>
    <row r="43" spans="1:35" ht="22.5" customHeight="1">
      <c r="A43" s="81"/>
      <c r="B43" s="22"/>
      <c r="C43" s="22"/>
      <c r="D43" s="222" t="s">
        <v>61</v>
      </c>
      <c r="E43" s="142">
        <f>ROUND(B32*IF($B$29="Surface utile",$AY$12,$AY$13),0)</f>
        <v>0</v>
      </c>
      <c r="F43" s="63">
        <f>ROUND(E43*$B$24,0)</f>
        <v>0</v>
      </c>
      <c r="G43" s="64">
        <f>ROUND(E43+F43,0)</f>
        <v>0</v>
      </c>
      <c r="H43" s="82"/>
      <c r="I43" s="82"/>
      <c r="J43" s="82"/>
      <c r="K43" s="82"/>
      <c r="L43" s="82"/>
      <c r="M43" s="82"/>
      <c r="O43" s="82"/>
      <c r="P43" s="82"/>
      <c r="Q43" s="82"/>
      <c r="S43" s="86"/>
      <c r="T43" s="86"/>
      <c r="V43" s="82"/>
      <c r="W43" s="82"/>
      <c r="X43" s="82"/>
      <c r="Y43" s="10"/>
      <c r="Z43" s="82"/>
      <c r="AA43" s="82"/>
      <c r="AB43" s="82"/>
      <c r="AD43" s="86"/>
      <c r="AE43" s="86"/>
      <c r="AG43" s="10"/>
      <c r="AH43" s="10"/>
      <c r="AI43" s="10"/>
    </row>
    <row r="44" spans="1:35" ht="22.5" customHeight="1">
      <c r="A44" s="81"/>
      <c r="B44" s="22"/>
      <c r="C44" s="22"/>
      <c r="D44" s="222" t="s">
        <v>63</v>
      </c>
      <c r="E44" s="142">
        <f>ROUND(B34*IF($B$29="Surface utile",$AY$12,$AY$13),0)</f>
        <v>0</v>
      </c>
      <c r="F44" s="63">
        <f t="shared" ref="F44:F45" si="3">ROUND(E44*$B$24,0)</f>
        <v>0</v>
      </c>
      <c r="G44" s="64">
        <f>ROUND(E44+F44,0)</f>
        <v>0</v>
      </c>
      <c r="H44" s="82"/>
      <c r="I44" s="82"/>
      <c r="J44" s="82"/>
      <c r="K44" s="82"/>
      <c r="L44" s="82"/>
      <c r="M44" s="82"/>
      <c r="O44" s="82"/>
      <c r="P44" s="82"/>
      <c r="Q44" s="82"/>
      <c r="S44" s="86"/>
      <c r="T44" s="86"/>
      <c r="V44" s="82"/>
      <c r="W44" s="82"/>
      <c r="X44" s="82"/>
      <c r="Y44" s="10"/>
      <c r="Z44" s="82"/>
      <c r="AA44" s="82"/>
      <c r="AB44" s="82"/>
      <c r="AD44" s="86"/>
      <c r="AE44" s="86"/>
      <c r="AG44" s="10"/>
      <c r="AH44" s="10"/>
      <c r="AI44" s="10"/>
    </row>
    <row r="45" spans="1:35" ht="22.5" customHeight="1">
      <c r="A45" s="81"/>
      <c r="B45" s="22"/>
      <c r="C45" s="22"/>
      <c r="D45" s="222" t="s">
        <v>64</v>
      </c>
      <c r="E45" s="142">
        <f>ROUND(B35*IF($B$29="Surface utile",$AY$12,$AY$13),0)</f>
        <v>0</v>
      </c>
      <c r="F45" s="63">
        <f t="shared" si="3"/>
        <v>0</v>
      </c>
      <c r="G45" s="64">
        <f>ROUND(E45+F45,0)</f>
        <v>0</v>
      </c>
      <c r="H45" s="82"/>
      <c r="I45" s="82"/>
      <c r="J45" s="82"/>
      <c r="K45" s="82"/>
      <c r="L45" s="82"/>
      <c r="M45" s="82"/>
      <c r="O45" s="82"/>
      <c r="P45" s="82"/>
      <c r="Q45" s="82"/>
      <c r="S45" s="86"/>
      <c r="T45" s="86"/>
      <c r="V45" s="82"/>
      <c r="W45" s="82"/>
      <c r="X45" s="82"/>
      <c r="Y45" s="10"/>
      <c r="Z45" s="82"/>
      <c r="AA45" s="82"/>
      <c r="AB45" s="82"/>
      <c r="AD45" s="86"/>
      <c r="AE45" s="86"/>
      <c r="AG45" s="10"/>
      <c r="AH45" s="10"/>
      <c r="AI45" s="10"/>
    </row>
    <row r="46" spans="1:35" ht="22.5" customHeight="1">
      <c r="A46" s="81"/>
      <c r="B46" s="22"/>
      <c r="C46" s="22"/>
      <c r="D46" s="223" t="s">
        <v>65</v>
      </c>
      <c r="E46" s="143">
        <f>SUM(E43:E45)</f>
        <v>0</v>
      </c>
      <c r="F46" s="26">
        <f>SUM(F43:F45)</f>
        <v>0</v>
      </c>
      <c r="G46" s="67">
        <f>SUM(G43:G45)</f>
        <v>0</v>
      </c>
      <c r="H46" s="82"/>
      <c r="I46" s="82"/>
      <c r="J46" s="82"/>
      <c r="K46" s="82"/>
      <c r="L46" s="82"/>
      <c r="M46" s="82"/>
      <c r="O46" s="82"/>
      <c r="P46" s="82"/>
      <c r="Q46" s="82"/>
      <c r="S46" s="86"/>
      <c r="T46" s="86"/>
      <c r="V46" s="82"/>
      <c r="W46" s="82"/>
      <c r="X46" s="82"/>
      <c r="Y46" s="10"/>
      <c r="Z46" s="82"/>
      <c r="AA46" s="82"/>
      <c r="AB46" s="82"/>
      <c r="AD46" s="86"/>
      <c r="AE46" s="86"/>
      <c r="AG46" s="10"/>
      <c r="AH46" s="10"/>
      <c r="AI46" s="10"/>
    </row>
    <row r="47" spans="1:35" ht="22.5" customHeight="1">
      <c r="A47" s="81"/>
      <c r="B47" s="22"/>
      <c r="C47" s="22"/>
      <c r="D47" s="224" t="s">
        <v>174</v>
      </c>
      <c r="E47" s="142">
        <f>ROUND(B37*IF($B$29="Surface utile",$AY$12,$AY$13),0)</f>
        <v>0</v>
      </c>
      <c r="F47" s="63">
        <f>ROUND(E47*$B$24,0)</f>
        <v>0</v>
      </c>
      <c r="G47" s="64">
        <f>ROUND(E47+F47,0)</f>
        <v>0</v>
      </c>
      <c r="H47" s="82"/>
      <c r="I47" s="82"/>
      <c r="J47" s="82"/>
      <c r="K47" s="82"/>
      <c r="L47" s="82"/>
      <c r="M47" s="82"/>
      <c r="O47" s="82"/>
      <c r="P47" s="82"/>
      <c r="Q47" s="82"/>
      <c r="S47" s="86"/>
      <c r="T47" s="86"/>
      <c r="V47" s="82"/>
      <c r="W47" s="82"/>
      <c r="X47" s="82"/>
      <c r="Y47" s="10"/>
      <c r="Z47" s="82"/>
      <c r="AA47" s="82"/>
      <c r="AB47" s="82"/>
      <c r="AD47" s="86"/>
      <c r="AE47" s="86"/>
      <c r="AG47" s="10"/>
      <c r="AH47" s="10"/>
      <c r="AI47" s="10"/>
    </row>
    <row r="48" spans="1:35" ht="22.5" customHeight="1">
      <c r="A48" s="81"/>
      <c r="B48" s="22"/>
      <c r="C48" s="22"/>
      <c r="D48" s="224" t="s">
        <v>175</v>
      </c>
      <c r="E48" s="220">
        <f>G48</f>
        <v>0</v>
      </c>
      <c r="F48" s="123"/>
      <c r="G48" s="67">
        <f>ROUND(C38*IF($B$29="Surface utile",$AY$12,$AY$13),0)</f>
        <v>0</v>
      </c>
      <c r="H48" s="82"/>
      <c r="I48" s="82"/>
      <c r="J48" s="82"/>
      <c r="K48" s="82"/>
      <c r="L48" s="82"/>
      <c r="M48" s="82"/>
      <c r="O48" s="82"/>
      <c r="P48" s="82"/>
      <c r="Q48" s="82"/>
      <c r="S48" s="86"/>
      <c r="T48" s="86"/>
      <c r="V48" s="82"/>
      <c r="W48" s="82"/>
      <c r="X48" s="82"/>
      <c r="Y48" s="10"/>
      <c r="Z48" s="82"/>
      <c r="AA48" s="82"/>
      <c r="AB48" s="82"/>
      <c r="AD48" s="86"/>
      <c r="AE48" s="86"/>
      <c r="AG48" s="10"/>
      <c r="AH48" s="10"/>
      <c r="AI48" s="10"/>
    </row>
    <row r="49" spans="1:28" ht="37.5" customHeight="1">
      <c r="D49" s="225" t="s">
        <v>160</v>
      </c>
      <c r="E49" s="144">
        <f>E47+E46+E48</f>
        <v>0</v>
      </c>
      <c r="F49" s="145">
        <f>F47+F46+F48</f>
        <v>0</v>
      </c>
      <c r="G49" s="146">
        <f>G47+G46+G48</f>
        <v>0</v>
      </c>
    </row>
    <row r="50" spans="1:28" ht="22.5" customHeight="1"/>
    <row r="51" spans="1:28" ht="15.75">
      <c r="A51" s="202" t="s">
        <v>67</v>
      </c>
      <c r="B51" s="202"/>
      <c r="C51" s="202"/>
      <c r="D51" s="202"/>
      <c r="E51" s="202"/>
      <c r="F51" s="202"/>
      <c r="G51" s="202"/>
      <c r="I51" s="202" t="s">
        <v>68</v>
      </c>
      <c r="J51" s="202"/>
      <c r="K51" s="202"/>
      <c r="L51" s="202"/>
      <c r="V51" s="211" t="s">
        <v>143</v>
      </c>
      <c r="W51" s="211"/>
      <c r="X51" s="211"/>
      <c r="Y51" s="211"/>
      <c r="Z51" s="211"/>
      <c r="AA51" s="211"/>
      <c r="AB51" s="211"/>
    </row>
    <row r="52" spans="1:28" ht="15.75">
      <c r="A52" s="17"/>
      <c r="B52" s="17"/>
      <c r="C52" s="17"/>
      <c r="D52" s="17"/>
      <c r="E52" s="17"/>
      <c r="V52" s="17"/>
      <c r="W52" s="17"/>
      <c r="X52" s="17"/>
      <c r="Y52" s="17"/>
      <c r="Z52" s="17"/>
    </row>
    <row r="53" spans="1:28" ht="30">
      <c r="A53" s="19"/>
      <c r="B53" s="97" t="s">
        <v>69</v>
      </c>
      <c r="C53" s="97" t="s">
        <v>70</v>
      </c>
      <c r="D53" s="97" t="s">
        <v>71</v>
      </c>
      <c r="E53" s="92" t="s">
        <v>72</v>
      </c>
      <c r="F53" s="203" t="s">
        <v>73</v>
      </c>
      <c r="G53" s="203"/>
      <c r="I53" s="19"/>
      <c r="J53" s="97" t="s">
        <v>71</v>
      </c>
      <c r="K53" s="92" t="s">
        <v>72</v>
      </c>
      <c r="L53" s="97" t="s">
        <v>73</v>
      </c>
      <c r="V53" s="19"/>
      <c r="W53" s="97" t="s">
        <v>69</v>
      </c>
      <c r="X53" s="97" t="s">
        <v>70</v>
      </c>
      <c r="Y53" s="97" t="s">
        <v>71</v>
      </c>
      <c r="Z53" s="92" t="s">
        <v>72</v>
      </c>
      <c r="AA53" s="203" t="s">
        <v>73</v>
      </c>
      <c r="AB53" s="203"/>
    </row>
    <row r="54" spans="1:28" ht="44.25" customHeight="1">
      <c r="A54" s="35" t="s">
        <v>74</v>
      </c>
      <c r="B54" s="154">
        <v>150000</v>
      </c>
      <c r="C54" s="154">
        <v>150000</v>
      </c>
      <c r="D54" s="69">
        <f>ROUND(B54+C54,0)</f>
        <v>300000</v>
      </c>
      <c r="E54" s="37">
        <f t="shared" ref="E54:E76" si="4">D54/D$77</f>
        <v>0.42613636363636365</v>
      </c>
      <c r="F54" s="204" t="s">
        <v>75</v>
      </c>
      <c r="G54" s="204"/>
      <c r="I54" s="40" t="s">
        <v>76</v>
      </c>
      <c r="J54" s="160">
        <v>15000</v>
      </c>
      <c r="K54" s="38">
        <f>ROUND(J54,0)/J$74</f>
        <v>6.1224489795918366E-2</v>
      </c>
      <c r="L54" s="39"/>
      <c r="V54" s="35" t="s">
        <v>74</v>
      </c>
      <c r="W54" s="70">
        <v>150000</v>
      </c>
      <c r="X54" s="70">
        <v>150000</v>
      </c>
      <c r="Y54" s="69">
        <f>ROUND(W54+X54,0)</f>
        <v>300000</v>
      </c>
      <c r="Z54" s="38">
        <f t="shared" ref="Z54:Z76" si="5">Y54/Y$77</f>
        <v>0.42613636363636365</v>
      </c>
      <c r="AA54" s="205"/>
      <c r="AB54" s="205"/>
    </row>
    <row r="55" spans="1:28" ht="53.25" customHeight="1">
      <c r="A55" s="40" t="s">
        <v>77</v>
      </c>
      <c r="B55" s="154"/>
      <c r="C55" s="154"/>
      <c r="D55" s="69">
        <f>ROUND(B55+C55,0)</f>
        <v>0</v>
      </c>
      <c r="E55" s="37">
        <f t="shared" si="4"/>
        <v>0</v>
      </c>
      <c r="F55" s="191" t="s">
        <v>78</v>
      </c>
      <c r="G55" s="191"/>
      <c r="I55" s="40" t="s">
        <v>79</v>
      </c>
      <c r="J55" s="160">
        <v>15000</v>
      </c>
      <c r="K55" s="38">
        <f t="shared" ref="K55:K63" si="6">ROUND(J55,0)/J$74</f>
        <v>6.1224489795918366E-2</v>
      </c>
      <c r="L55" s="39" t="s">
        <v>80</v>
      </c>
      <c r="V55" s="40" t="s">
        <v>144</v>
      </c>
      <c r="W55" s="70"/>
      <c r="X55" s="70"/>
      <c r="Y55" s="69">
        <f>ROUND(W55+X55,0)</f>
        <v>0</v>
      </c>
      <c r="Z55" s="38">
        <f t="shared" si="5"/>
        <v>0</v>
      </c>
      <c r="AA55" s="206"/>
      <c r="AB55" s="206"/>
    </row>
    <row r="56" spans="1:28" ht="30">
      <c r="A56" s="46" t="s">
        <v>81</v>
      </c>
      <c r="B56" s="155">
        <f>SUM(B54:B55)</f>
        <v>150000</v>
      </c>
      <c r="C56" s="155">
        <f>SUM(C54:C55)</f>
        <v>150000</v>
      </c>
      <c r="D56" s="71">
        <f>SUM(D54:D55)</f>
        <v>300000</v>
      </c>
      <c r="E56" s="43">
        <f t="shared" si="4"/>
        <v>0.42613636363636365</v>
      </c>
      <c r="F56" s="192"/>
      <c r="G56" s="192"/>
      <c r="I56" s="40" t="s">
        <v>82</v>
      </c>
      <c r="J56" s="160">
        <v>15000</v>
      </c>
      <c r="K56" s="38">
        <f t="shared" si="6"/>
        <v>6.1224489795918366E-2</v>
      </c>
      <c r="L56" s="39" t="s">
        <v>80</v>
      </c>
      <c r="V56" s="41" t="s">
        <v>145</v>
      </c>
      <c r="W56" s="71">
        <f>SUM(W54:W55)</f>
        <v>150000</v>
      </c>
      <c r="X56" s="71">
        <f>SUM(X54:X55)</f>
        <v>150000</v>
      </c>
      <c r="Y56" s="71">
        <f>SUM(Y54:Y55)</f>
        <v>300000</v>
      </c>
      <c r="Z56" s="43">
        <f t="shared" si="5"/>
        <v>0.42613636363636365</v>
      </c>
      <c r="AA56" s="192"/>
      <c r="AB56" s="192"/>
    </row>
    <row r="57" spans="1:28" ht="33.6" customHeight="1">
      <c r="A57" s="19" t="s">
        <v>76</v>
      </c>
      <c r="B57" s="154">
        <v>30000</v>
      </c>
      <c r="C57" s="154">
        <v>30000</v>
      </c>
      <c r="D57" s="69">
        <f>ROUND(B57+C57,0)</f>
        <v>60000</v>
      </c>
      <c r="E57" s="38">
        <f t="shared" si="4"/>
        <v>8.5227272727272721E-2</v>
      </c>
      <c r="F57" s="182"/>
      <c r="G57" s="182"/>
      <c r="I57" s="40" t="s">
        <v>83</v>
      </c>
      <c r="J57" s="160">
        <v>15000</v>
      </c>
      <c r="K57" s="38">
        <f t="shared" si="6"/>
        <v>6.1224489795918366E-2</v>
      </c>
      <c r="L57" s="39"/>
      <c r="V57" s="19" t="s">
        <v>76</v>
      </c>
      <c r="W57" s="70">
        <v>30000</v>
      </c>
      <c r="X57" s="70">
        <v>30000</v>
      </c>
      <c r="Y57" s="69">
        <f t="shared" ref="Y57:Y60" si="7">ROUND(W57+X57,0)</f>
        <v>60000</v>
      </c>
      <c r="Z57" s="38">
        <f t="shared" si="5"/>
        <v>8.5227272727272721E-2</v>
      </c>
      <c r="AA57" s="182"/>
      <c r="AB57" s="182"/>
    </row>
    <row r="58" spans="1:28" ht="31.5">
      <c r="A58" s="19" t="s">
        <v>79</v>
      </c>
      <c r="B58" s="154">
        <v>15000</v>
      </c>
      <c r="C58" s="154">
        <v>15000</v>
      </c>
      <c r="D58" s="69">
        <f t="shared" ref="D58:D60" si="8">ROUND(B58+C58,0)</f>
        <v>30000</v>
      </c>
      <c r="E58" s="38">
        <f t="shared" si="4"/>
        <v>4.261363636363636E-2</v>
      </c>
      <c r="F58" s="182"/>
      <c r="G58" s="182"/>
      <c r="I58" s="44" t="s">
        <v>146</v>
      </c>
      <c r="J58" s="161">
        <f>SUM(J54:J57)</f>
        <v>60000</v>
      </c>
      <c r="K58" s="43">
        <f>ROUND(J58,0)/J$74</f>
        <v>0.24489795918367346</v>
      </c>
      <c r="L58" s="125"/>
      <c r="V58" s="19" t="s">
        <v>79</v>
      </c>
      <c r="W58" s="70">
        <v>15000</v>
      </c>
      <c r="X58" s="70">
        <v>15000</v>
      </c>
      <c r="Y58" s="69">
        <f t="shared" si="7"/>
        <v>30000</v>
      </c>
      <c r="Z58" s="38">
        <f t="shared" si="5"/>
        <v>4.261363636363636E-2</v>
      </c>
      <c r="AA58" s="182"/>
      <c r="AB58" s="182"/>
    </row>
    <row r="59" spans="1:28" ht="30">
      <c r="A59" s="19" t="s">
        <v>82</v>
      </c>
      <c r="B59" s="154">
        <v>50000</v>
      </c>
      <c r="C59" s="154">
        <v>50000</v>
      </c>
      <c r="D59" s="69">
        <f t="shared" si="8"/>
        <v>100000</v>
      </c>
      <c r="E59" s="38">
        <f t="shared" si="4"/>
        <v>0.14204545454545456</v>
      </c>
      <c r="F59" s="182"/>
      <c r="G59" s="182"/>
      <c r="I59" s="40" t="s">
        <v>85</v>
      </c>
      <c r="J59" s="160">
        <v>50000</v>
      </c>
      <c r="K59" s="38">
        <f t="shared" si="6"/>
        <v>0.20408163265306123</v>
      </c>
      <c r="L59" s="126"/>
      <c r="V59" s="19" t="s">
        <v>82</v>
      </c>
      <c r="W59" s="70">
        <v>50000</v>
      </c>
      <c r="X59" s="70">
        <v>50000</v>
      </c>
      <c r="Y59" s="69">
        <f t="shared" si="7"/>
        <v>100000</v>
      </c>
      <c r="Z59" s="38">
        <f t="shared" si="5"/>
        <v>0.14204545454545456</v>
      </c>
      <c r="AA59" s="182"/>
      <c r="AB59" s="182"/>
    </row>
    <row r="60" spans="1:28">
      <c r="A60" s="19" t="s">
        <v>83</v>
      </c>
      <c r="B60" s="154">
        <v>30000</v>
      </c>
      <c r="C60" s="154">
        <v>30000</v>
      </c>
      <c r="D60" s="69">
        <f t="shared" si="8"/>
        <v>60000</v>
      </c>
      <c r="E60" s="38">
        <f t="shared" si="4"/>
        <v>8.5227272727272721E-2</v>
      </c>
      <c r="F60" s="182"/>
      <c r="G60" s="182"/>
      <c r="I60" s="72" t="s">
        <v>86</v>
      </c>
      <c r="J60" s="160"/>
      <c r="K60" s="38">
        <f t="shared" si="6"/>
        <v>0</v>
      </c>
      <c r="L60" s="126"/>
      <c r="V60" s="19" t="s">
        <v>83</v>
      </c>
      <c r="W60" s="70">
        <v>30000</v>
      </c>
      <c r="X60" s="70">
        <v>30000</v>
      </c>
      <c r="Y60" s="69">
        <f t="shared" si="7"/>
        <v>60000</v>
      </c>
      <c r="Z60" s="38">
        <f t="shared" si="5"/>
        <v>8.5227272727272721E-2</v>
      </c>
      <c r="AA60" s="182"/>
      <c r="AB60" s="182"/>
    </row>
    <row r="61" spans="1:28" ht="31.5">
      <c r="A61" s="46" t="s">
        <v>84</v>
      </c>
      <c r="B61" s="155">
        <f>SUM(B57:B60)</f>
        <v>125000</v>
      </c>
      <c r="C61" s="155">
        <f>SUM(C57:C60)</f>
        <v>125000</v>
      </c>
      <c r="D61" s="71">
        <f>SUM(D57:D60)</f>
        <v>250000</v>
      </c>
      <c r="E61" s="43">
        <f t="shared" si="4"/>
        <v>0.35511363636363635</v>
      </c>
      <c r="F61" s="183"/>
      <c r="G61" s="183"/>
      <c r="I61" s="72" t="s">
        <v>87</v>
      </c>
      <c r="J61" s="160"/>
      <c r="K61" s="38">
        <f t="shared" si="6"/>
        <v>0</v>
      </c>
      <c r="L61" s="126"/>
      <c r="V61" s="44" t="s">
        <v>84</v>
      </c>
      <c r="W61" s="71">
        <f>SUM(W57:W60)</f>
        <v>125000</v>
      </c>
      <c r="X61" s="71">
        <f>SUM(X57:X60)</f>
        <v>125000</v>
      </c>
      <c r="Y61" s="71">
        <f>SUM(Y57:Y60)</f>
        <v>250000</v>
      </c>
      <c r="Z61" s="43">
        <f t="shared" si="5"/>
        <v>0.35511363636363635</v>
      </c>
      <c r="AA61" s="183"/>
      <c r="AB61" s="183"/>
    </row>
    <row r="62" spans="1:28">
      <c r="A62" s="19" t="s">
        <v>85</v>
      </c>
      <c r="B62" s="154">
        <v>12000</v>
      </c>
      <c r="C62" s="154">
        <v>12000</v>
      </c>
      <c r="D62" s="69">
        <f>ROUND(B62+C62,0)</f>
        <v>24000</v>
      </c>
      <c r="E62" s="38">
        <f t="shared" si="4"/>
        <v>3.4090909090909088E-2</v>
      </c>
      <c r="F62" s="182"/>
      <c r="G62" s="182"/>
      <c r="I62" s="72" t="s">
        <v>88</v>
      </c>
      <c r="J62" s="160"/>
      <c r="K62" s="38">
        <f t="shared" si="6"/>
        <v>0</v>
      </c>
      <c r="L62" s="126"/>
      <c r="V62" s="19" t="s">
        <v>85</v>
      </c>
      <c r="W62" s="70">
        <v>12000</v>
      </c>
      <c r="X62" s="70">
        <v>12000</v>
      </c>
      <c r="Y62" s="69">
        <f t="shared" ref="Y62:Y66" si="9">ROUND(W62+X62,0)</f>
        <v>24000</v>
      </c>
      <c r="Z62" s="38">
        <f t="shared" si="5"/>
        <v>3.4090909090909088E-2</v>
      </c>
      <c r="AA62" s="182"/>
      <c r="AB62" s="182"/>
    </row>
    <row r="63" spans="1:28">
      <c r="A63" s="45" t="s">
        <v>86</v>
      </c>
      <c r="B63" s="154"/>
      <c r="C63" s="154"/>
      <c r="D63" s="69">
        <f t="shared" ref="D63:D66" si="10">ROUND(B63+C63,0)</f>
        <v>0</v>
      </c>
      <c r="E63" s="38">
        <f t="shared" si="4"/>
        <v>0</v>
      </c>
      <c r="F63" s="182"/>
      <c r="G63" s="182"/>
      <c r="I63" s="72" t="s">
        <v>89</v>
      </c>
      <c r="J63" s="160"/>
      <c r="K63" s="38">
        <f t="shared" si="6"/>
        <v>0</v>
      </c>
      <c r="L63" s="126"/>
      <c r="V63" s="45" t="s">
        <v>86</v>
      </c>
      <c r="W63" s="70"/>
      <c r="X63" s="70"/>
      <c r="Y63" s="69">
        <f t="shared" si="9"/>
        <v>0</v>
      </c>
      <c r="Z63" s="38">
        <f t="shared" si="5"/>
        <v>0</v>
      </c>
      <c r="AA63" s="182"/>
      <c r="AB63" s="182"/>
    </row>
    <row r="64" spans="1:28" ht="31.5">
      <c r="A64" s="45" t="s">
        <v>87</v>
      </c>
      <c r="B64" s="154"/>
      <c r="C64" s="154"/>
      <c r="D64" s="69">
        <f t="shared" si="10"/>
        <v>0</v>
      </c>
      <c r="E64" s="38">
        <f t="shared" si="4"/>
        <v>0</v>
      </c>
      <c r="F64" s="182"/>
      <c r="G64" s="182"/>
      <c r="I64" s="44" t="s">
        <v>90</v>
      </c>
      <c r="J64" s="161">
        <f>SUM(J59:J63)</f>
        <v>50000</v>
      </c>
      <c r="K64" s="43">
        <f>ROUND(J64,0)/J$74</f>
        <v>0.20408163265306123</v>
      </c>
      <c r="L64" s="125"/>
      <c r="V64" s="45" t="s">
        <v>87</v>
      </c>
      <c r="W64" s="70"/>
      <c r="X64" s="70"/>
      <c r="Y64" s="69">
        <f t="shared" si="9"/>
        <v>0</v>
      </c>
      <c r="Z64" s="38">
        <f t="shared" si="5"/>
        <v>0</v>
      </c>
      <c r="AA64" s="182"/>
      <c r="AB64" s="182"/>
    </row>
    <row r="65" spans="1:28" ht="15.75">
      <c r="A65" s="45" t="s">
        <v>88</v>
      </c>
      <c r="B65" s="154"/>
      <c r="C65" s="154"/>
      <c r="D65" s="69">
        <f t="shared" si="10"/>
        <v>0</v>
      </c>
      <c r="E65" s="38">
        <f t="shared" si="4"/>
        <v>0</v>
      </c>
      <c r="F65" s="182"/>
      <c r="G65" s="182"/>
      <c r="I65" s="73" t="s">
        <v>91</v>
      </c>
      <c r="J65" s="162">
        <f>J58+J64</f>
        <v>110000</v>
      </c>
      <c r="K65" s="49">
        <f>ROUND(J65,0)/$J$74</f>
        <v>0.44897959183673469</v>
      </c>
      <c r="L65" s="127"/>
      <c r="V65" s="45" t="s">
        <v>88</v>
      </c>
      <c r="W65" s="70"/>
      <c r="X65" s="70"/>
      <c r="Y65" s="69">
        <f t="shared" si="9"/>
        <v>0</v>
      </c>
      <c r="Z65" s="38">
        <f t="shared" si="5"/>
        <v>0</v>
      </c>
      <c r="AA65" s="182"/>
      <c r="AB65" s="182"/>
    </row>
    <row r="66" spans="1:28">
      <c r="A66" s="45" t="s">
        <v>89</v>
      </c>
      <c r="B66" s="154"/>
      <c r="C66" s="154"/>
      <c r="D66" s="69">
        <f t="shared" si="10"/>
        <v>0</v>
      </c>
      <c r="E66" s="38">
        <f t="shared" si="4"/>
        <v>0</v>
      </c>
      <c r="F66" s="182"/>
      <c r="G66" s="182"/>
      <c r="I66" s="74" t="s">
        <v>92</v>
      </c>
      <c r="J66" s="160">
        <v>50000</v>
      </c>
      <c r="K66" s="38">
        <f t="shared" ref="K66:K71" si="11">ROUND(J66,0)/J$74</f>
        <v>0.20408163265306123</v>
      </c>
      <c r="L66" s="128" t="s">
        <v>93</v>
      </c>
      <c r="V66" s="45" t="s">
        <v>89</v>
      </c>
      <c r="W66" s="70"/>
      <c r="X66" s="70"/>
      <c r="Y66" s="69">
        <f t="shared" si="9"/>
        <v>0</v>
      </c>
      <c r="Z66" s="38">
        <f t="shared" si="5"/>
        <v>0</v>
      </c>
      <c r="AA66" s="182"/>
      <c r="AB66" s="182"/>
    </row>
    <row r="67" spans="1:28" ht="35.1" customHeight="1">
      <c r="A67" s="46" t="s">
        <v>90</v>
      </c>
      <c r="B67" s="155">
        <f>SUM(B62:B66)</f>
        <v>12000</v>
      </c>
      <c r="C67" s="155">
        <f>SUM(C62:C66)</f>
        <v>12000</v>
      </c>
      <c r="D67" s="71">
        <f>SUM(D62:D66)</f>
        <v>24000</v>
      </c>
      <c r="E67" s="43">
        <f t="shared" si="4"/>
        <v>3.4090909090909088E-2</v>
      </c>
      <c r="F67" s="183"/>
      <c r="G67" s="183"/>
      <c r="I67" s="74" t="s">
        <v>147</v>
      </c>
      <c r="J67" s="160">
        <v>50000</v>
      </c>
      <c r="K67" s="38">
        <f t="shared" si="11"/>
        <v>0.20408163265306123</v>
      </c>
      <c r="L67" s="128" t="s">
        <v>93</v>
      </c>
      <c r="V67" s="46" t="s">
        <v>90</v>
      </c>
      <c r="W67" s="71">
        <f>SUM(W62:W66)</f>
        <v>12000</v>
      </c>
      <c r="X67" s="71">
        <f>SUM(X62:X66)</f>
        <v>12000</v>
      </c>
      <c r="Y67" s="71">
        <f>SUM(Y62:Y66)</f>
        <v>24000</v>
      </c>
      <c r="Z67" s="43">
        <f t="shared" si="5"/>
        <v>3.4090909090909088E-2</v>
      </c>
      <c r="AA67" s="183"/>
      <c r="AB67" s="183"/>
    </row>
    <row r="68" spans="1:28" ht="29.85" customHeight="1">
      <c r="A68" s="21" t="s">
        <v>91</v>
      </c>
      <c r="B68" s="156">
        <f>B56+B61+B67</f>
        <v>287000</v>
      </c>
      <c r="C68" s="156">
        <f>C56+C61+C67</f>
        <v>287000</v>
      </c>
      <c r="D68" s="75">
        <f>D56+D61+D67</f>
        <v>574000</v>
      </c>
      <c r="E68" s="49">
        <f t="shared" si="4"/>
        <v>0.81534090909090906</v>
      </c>
      <c r="F68" s="184"/>
      <c r="G68" s="184"/>
      <c r="I68" s="74" t="s">
        <v>95</v>
      </c>
      <c r="J68" s="160">
        <v>35000</v>
      </c>
      <c r="K68" s="38">
        <f t="shared" si="11"/>
        <v>0.14285714285714285</v>
      </c>
      <c r="L68" s="126"/>
      <c r="V68" s="21" t="s">
        <v>91</v>
      </c>
      <c r="W68" s="75">
        <f>W56+W61+W67</f>
        <v>287000</v>
      </c>
      <c r="X68" s="75">
        <f>X56+X61+X67</f>
        <v>287000</v>
      </c>
      <c r="Y68" s="75">
        <f>Y56+Y61+Y67</f>
        <v>574000</v>
      </c>
      <c r="Z68" s="49">
        <f t="shared" si="5"/>
        <v>0.81534090909090906</v>
      </c>
      <c r="AA68" s="184"/>
      <c r="AB68" s="184"/>
    </row>
    <row r="69" spans="1:28">
      <c r="A69" s="29" t="s">
        <v>96</v>
      </c>
      <c r="B69" s="154"/>
      <c r="C69" s="154">
        <v>10000</v>
      </c>
      <c r="D69" s="69">
        <f>ROUND(B69+C69,0)</f>
        <v>10000</v>
      </c>
      <c r="E69" s="38">
        <f t="shared" si="4"/>
        <v>1.4204545454545454E-2</v>
      </c>
      <c r="F69" s="188" t="s">
        <v>93</v>
      </c>
      <c r="G69" s="188"/>
      <c r="I69" s="76" t="s">
        <v>97</v>
      </c>
      <c r="J69" s="160"/>
      <c r="K69" s="38">
        <f t="shared" si="11"/>
        <v>0</v>
      </c>
      <c r="L69" s="126"/>
      <c r="V69" s="29" t="s">
        <v>96</v>
      </c>
      <c r="W69" s="70"/>
      <c r="X69" s="70">
        <v>10000</v>
      </c>
      <c r="Y69" s="69">
        <f t="shared" ref="Y69:Y73" si="12">ROUND(W69+X69,0)</f>
        <v>10000</v>
      </c>
      <c r="Z69" s="38">
        <f t="shared" si="5"/>
        <v>1.4204545454545454E-2</v>
      </c>
      <c r="AA69" s="188" t="s">
        <v>93</v>
      </c>
      <c r="AB69" s="188"/>
    </row>
    <row r="70" spans="1:28">
      <c r="A70" s="51" t="s">
        <v>98</v>
      </c>
      <c r="B70" s="154"/>
      <c r="C70" s="154">
        <v>10000</v>
      </c>
      <c r="D70" s="69">
        <f t="shared" ref="D70:D76" si="13">ROUND(B70+C70,0)</f>
        <v>10000</v>
      </c>
      <c r="E70" s="38">
        <f t="shared" si="4"/>
        <v>1.4204545454545454E-2</v>
      </c>
      <c r="F70" s="188" t="s">
        <v>93</v>
      </c>
      <c r="G70" s="188"/>
      <c r="I70" s="76" t="s">
        <v>99</v>
      </c>
      <c r="J70" s="160"/>
      <c r="K70" s="38">
        <f t="shared" si="11"/>
        <v>0</v>
      </c>
      <c r="L70" s="126"/>
      <c r="V70" s="51" t="s">
        <v>98</v>
      </c>
      <c r="W70" s="70"/>
      <c r="X70" s="70">
        <v>10000</v>
      </c>
      <c r="Y70" s="69">
        <f t="shared" si="12"/>
        <v>10000</v>
      </c>
      <c r="Z70" s="38">
        <f t="shared" si="5"/>
        <v>1.4204545454545454E-2</v>
      </c>
      <c r="AA70" s="188" t="s">
        <v>93</v>
      </c>
      <c r="AB70" s="188"/>
    </row>
    <row r="71" spans="1:28">
      <c r="A71" s="29" t="s">
        <v>148</v>
      </c>
      <c r="B71" s="154">
        <v>10000</v>
      </c>
      <c r="C71" s="154"/>
      <c r="D71" s="69">
        <f t="shared" si="13"/>
        <v>10000</v>
      </c>
      <c r="E71" s="38">
        <f t="shared" si="4"/>
        <v>1.4204545454545454E-2</v>
      </c>
      <c r="F71" s="182"/>
      <c r="G71" s="182"/>
      <c r="I71" s="76" t="s">
        <v>101</v>
      </c>
      <c r="J71" s="160"/>
      <c r="K71" s="38">
        <f t="shared" si="11"/>
        <v>0</v>
      </c>
      <c r="L71" s="126"/>
      <c r="V71" s="29" t="s">
        <v>148</v>
      </c>
      <c r="W71" s="70">
        <v>10000</v>
      </c>
      <c r="X71" s="70"/>
      <c r="Y71" s="69">
        <f t="shared" si="12"/>
        <v>10000</v>
      </c>
      <c r="Z71" s="38">
        <f t="shared" si="5"/>
        <v>1.4204545454545454E-2</v>
      </c>
      <c r="AA71" s="182"/>
      <c r="AB71" s="182"/>
    </row>
    <row r="72" spans="1:28" ht="15.75">
      <c r="A72" s="50" t="s">
        <v>97</v>
      </c>
      <c r="B72" s="154"/>
      <c r="C72" s="154"/>
      <c r="D72" s="69">
        <f t="shared" si="13"/>
        <v>0</v>
      </c>
      <c r="E72" s="38">
        <f t="shared" si="4"/>
        <v>0</v>
      </c>
      <c r="F72" s="182"/>
      <c r="G72" s="182"/>
      <c r="I72" s="77" t="s">
        <v>102</v>
      </c>
      <c r="J72" s="162">
        <f>SUM(J66:J71)</f>
        <v>135000</v>
      </c>
      <c r="K72" s="49">
        <f t="shared" ref="K72:K73" si="14">ROUND(J72,0)/$J$74</f>
        <v>0.55102040816326525</v>
      </c>
      <c r="L72" s="127"/>
      <c r="V72" s="29" t="s">
        <v>149</v>
      </c>
      <c r="W72" s="70"/>
      <c r="X72" s="70"/>
      <c r="Y72" s="69">
        <f t="shared" si="12"/>
        <v>0</v>
      </c>
      <c r="Z72" s="38">
        <f t="shared" si="5"/>
        <v>0</v>
      </c>
      <c r="AA72" s="182"/>
      <c r="AB72" s="182"/>
    </row>
    <row r="73" spans="1:28" ht="15.75">
      <c r="A73" s="50" t="s">
        <v>99</v>
      </c>
      <c r="B73" s="154"/>
      <c r="C73" s="154"/>
      <c r="D73" s="69">
        <f t="shared" si="13"/>
        <v>0</v>
      </c>
      <c r="E73" s="38">
        <f t="shared" si="4"/>
        <v>0</v>
      </c>
      <c r="F73" s="182"/>
      <c r="G73" s="182"/>
      <c r="I73" s="73" t="s">
        <v>103</v>
      </c>
      <c r="J73" s="163"/>
      <c r="K73" s="49">
        <f t="shared" si="14"/>
        <v>0</v>
      </c>
      <c r="L73" s="127"/>
      <c r="V73" s="50" t="s">
        <v>97</v>
      </c>
      <c r="W73" s="70"/>
      <c r="X73" s="70"/>
      <c r="Y73" s="69">
        <f t="shared" si="12"/>
        <v>0</v>
      </c>
      <c r="Z73" s="38">
        <f t="shared" si="5"/>
        <v>0</v>
      </c>
      <c r="AA73" s="182"/>
      <c r="AB73" s="182"/>
    </row>
    <row r="74" spans="1:28" ht="31.5">
      <c r="A74" s="50" t="s">
        <v>101</v>
      </c>
      <c r="B74" s="154"/>
      <c r="C74" s="154"/>
      <c r="D74" s="69">
        <f t="shared" si="13"/>
        <v>0</v>
      </c>
      <c r="E74" s="38">
        <f t="shared" si="4"/>
        <v>0</v>
      </c>
      <c r="F74" s="182"/>
      <c r="G74" s="182"/>
      <c r="I74" s="54" t="s">
        <v>104</v>
      </c>
      <c r="J74" s="164">
        <f>J65+J72+J73</f>
        <v>245000</v>
      </c>
      <c r="K74" s="58">
        <f t="shared" ref="K74" si="15">ROUND(J74,0)/J$74</f>
        <v>1</v>
      </c>
      <c r="L74" s="126"/>
      <c r="V74" s="50" t="s">
        <v>99</v>
      </c>
      <c r="W74" s="70"/>
      <c r="X74" s="70"/>
      <c r="Y74" s="69">
        <f>ROUND(W74+X74,0)</f>
        <v>0</v>
      </c>
      <c r="Z74" s="38">
        <f t="shared" si="5"/>
        <v>0</v>
      </c>
      <c r="AA74" s="182"/>
      <c r="AB74" s="182"/>
    </row>
    <row r="75" spans="1:28" ht="15.75">
      <c r="A75" s="52" t="s">
        <v>102</v>
      </c>
      <c r="B75" s="156">
        <f>SUM(B69:B74)</f>
        <v>10000</v>
      </c>
      <c r="C75" s="156">
        <f>SUM(C69:C74)</f>
        <v>20000</v>
      </c>
      <c r="D75" s="75">
        <f>SUM(D69:D74)</f>
        <v>30000</v>
      </c>
      <c r="E75" s="49">
        <f t="shared" si="4"/>
        <v>4.261363636363636E-2</v>
      </c>
      <c r="F75" s="184"/>
      <c r="G75" s="184"/>
      <c r="V75" s="52" t="s">
        <v>102</v>
      </c>
      <c r="W75" s="75">
        <f>SUM(W69:W74)</f>
        <v>10000</v>
      </c>
      <c r="X75" s="75">
        <f>SUM(X69:X74)</f>
        <v>20000</v>
      </c>
      <c r="Y75" s="75">
        <f>SUM(Y69:Y74)</f>
        <v>30000</v>
      </c>
      <c r="Z75" s="49">
        <f t="shared" si="5"/>
        <v>4.261363636363636E-2</v>
      </c>
      <c r="AA75" s="184"/>
      <c r="AB75" s="184"/>
    </row>
    <row r="76" spans="1:28" ht="30">
      <c r="A76" s="21" t="s">
        <v>103</v>
      </c>
      <c r="B76" s="157">
        <v>50000</v>
      </c>
      <c r="C76" s="157">
        <v>50000</v>
      </c>
      <c r="D76" s="78">
        <f t="shared" si="13"/>
        <v>100000</v>
      </c>
      <c r="E76" s="49">
        <f t="shared" si="4"/>
        <v>0.14204545454545456</v>
      </c>
      <c r="F76" s="184"/>
      <c r="G76" s="184"/>
      <c r="I76" s="89" t="s">
        <v>105</v>
      </c>
      <c r="J76" s="201" t="str">
        <f>IF(ROUND(J74,0)&lt;&gt;Q39,"plan de financement non équilibré", "OK")</f>
        <v>plan de financement non équilibré</v>
      </c>
      <c r="K76" s="201"/>
      <c r="V76" s="21" t="s">
        <v>103</v>
      </c>
      <c r="W76" s="79">
        <v>50000</v>
      </c>
      <c r="X76" s="79">
        <v>50000</v>
      </c>
      <c r="Y76" s="78">
        <f t="shared" ref="Y76:Y77" si="16">ROUND(W76+X76,0)</f>
        <v>100000</v>
      </c>
      <c r="Z76" s="49">
        <f t="shared" si="5"/>
        <v>0.14204545454545456</v>
      </c>
      <c r="AA76" s="184"/>
      <c r="AB76" s="184"/>
    </row>
    <row r="77" spans="1:28" ht="15.75">
      <c r="A77" s="57" t="s">
        <v>104</v>
      </c>
      <c r="B77" s="158">
        <f>B68+B75+B76</f>
        <v>347000</v>
      </c>
      <c r="C77" s="159">
        <f>C68+C75+C76</f>
        <v>357000</v>
      </c>
      <c r="D77" s="55">
        <f>ROUND(B77+C77,0)</f>
        <v>704000</v>
      </c>
      <c r="E77" s="58">
        <f>D77/$D$77</f>
        <v>1</v>
      </c>
      <c r="F77" s="182"/>
      <c r="G77" s="182"/>
      <c r="I77" s="110"/>
      <c r="J77" s="110"/>
      <c r="K77" s="110"/>
      <c r="L77" s="110"/>
      <c r="V77" s="57" t="s">
        <v>104</v>
      </c>
      <c r="W77" s="80">
        <f>W68+W75+W76</f>
        <v>347000</v>
      </c>
      <c r="X77" s="80">
        <f>X68+X75+X76</f>
        <v>357000</v>
      </c>
      <c r="Y77" s="78">
        <f t="shared" si="16"/>
        <v>704000</v>
      </c>
      <c r="Z77" s="58">
        <f>Y77/$D$77</f>
        <v>1</v>
      </c>
      <c r="AA77" s="182"/>
      <c r="AB77" s="182"/>
    </row>
    <row r="78" spans="1:28">
      <c r="I78" s="110"/>
      <c r="J78" s="110"/>
      <c r="K78" s="110"/>
      <c r="L78" s="110"/>
    </row>
    <row r="79" spans="1:28" ht="39.75" customHeight="1">
      <c r="A79" s="10" t="s">
        <v>105</v>
      </c>
      <c r="B79" s="90" t="str">
        <f>IF(ROUND(B77,0)&lt;&gt;G39,"plan de financement non équilibré", "OK")</f>
        <v>plan de financement non équilibré</v>
      </c>
      <c r="C79" s="90" t="str">
        <f>IF(ROUND(C77,0)&lt;&gt;J39,"plan de financement non équilibré", "OK")</f>
        <v>plan de financement non équilibré</v>
      </c>
      <c r="I79" s="110"/>
      <c r="J79" s="110"/>
      <c r="K79" s="110"/>
      <c r="L79" s="110"/>
      <c r="V79" s="10" t="s">
        <v>105</v>
      </c>
      <c r="W79" s="90" t="str">
        <f>IF(ROUND(W77,0)&lt;&gt;X39,"plan de financement non équilibré", "OK")</f>
        <v>plan de financement non équilibré</v>
      </c>
      <c r="X79" s="90" t="str">
        <f>IF(ROUND(X77,0)&lt;&gt;AB39,"plan de financement non équilibré", "OK")</f>
        <v>plan de financement non équilibré</v>
      </c>
    </row>
    <row r="81" spans="1:7" ht="15.75">
      <c r="A81" s="202" t="s">
        <v>166</v>
      </c>
      <c r="B81" s="202"/>
      <c r="C81" s="202"/>
      <c r="D81" s="202"/>
      <c r="E81" s="202"/>
      <c r="F81" s="202"/>
      <c r="G81" s="202"/>
    </row>
    <row r="82" spans="1:7" ht="30.75">
      <c r="A82" s="19"/>
      <c r="B82" s="92" t="s">
        <v>163</v>
      </c>
      <c r="C82" s="92" t="s">
        <v>72</v>
      </c>
      <c r="D82" s="187" t="s">
        <v>73</v>
      </c>
      <c r="E82" s="187"/>
    </row>
    <row r="83" spans="1:7">
      <c r="A83" s="35" t="s">
        <v>74</v>
      </c>
      <c r="B83" s="36"/>
      <c r="C83" s="38" t="e">
        <f t="shared" ref="C83:C105" si="17">ROUND(B83,0)/B$106</f>
        <v>#DIV/0!</v>
      </c>
      <c r="D83" s="189" t="s">
        <v>75</v>
      </c>
      <c r="E83" s="190"/>
    </row>
    <row r="84" spans="1:7" ht="43.5" customHeight="1">
      <c r="A84" s="40" t="s">
        <v>77</v>
      </c>
      <c r="B84" s="36"/>
      <c r="C84" s="38" t="e">
        <f t="shared" si="17"/>
        <v>#DIV/0!</v>
      </c>
      <c r="D84" s="191" t="s">
        <v>78</v>
      </c>
      <c r="E84" s="191"/>
    </row>
    <row r="85" spans="1:7" ht="15.75">
      <c r="A85" s="41" t="s">
        <v>81</v>
      </c>
      <c r="B85" s="42">
        <f>SUM(B83:B84)</f>
        <v>0</v>
      </c>
      <c r="C85" s="43" t="e">
        <f t="shared" si="17"/>
        <v>#DIV/0!</v>
      </c>
      <c r="D85" s="192"/>
      <c r="E85" s="192"/>
    </row>
    <row r="86" spans="1:7">
      <c r="A86" s="19" t="s">
        <v>76</v>
      </c>
      <c r="B86" s="36"/>
      <c r="C86" s="38" t="e">
        <f t="shared" si="17"/>
        <v>#DIV/0!</v>
      </c>
      <c r="D86" s="182"/>
      <c r="E86" s="182"/>
    </row>
    <row r="87" spans="1:7">
      <c r="A87" s="19" t="s">
        <v>79</v>
      </c>
      <c r="B87" s="36"/>
      <c r="C87" s="38" t="e">
        <f t="shared" si="17"/>
        <v>#DIV/0!</v>
      </c>
      <c r="D87" s="182"/>
      <c r="E87" s="182"/>
    </row>
    <row r="88" spans="1:7">
      <c r="A88" s="19" t="s">
        <v>82</v>
      </c>
      <c r="B88" s="36"/>
      <c r="C88" s="38" t="e">
        <f t="shared" si="17"/>
        <v>#DIV/0!</v>
      </c>
      <c r="D88" s="182"/>
      <c r="E88" s="182"/>
    </row>
    <row r="89" spans="1:7">
      <c r="A89" s="19" t="s">
        <v>83</v>
      </c>
      <c r="B89" s="36"/>
      <c r="C89" s="38" t="e">
        <f t="shared" si="17"/>
        <v>#DIV/0!</v>
      </c>
      <c r="D89" s="182"/>
      <c r="E89" s="182"/>
    </row>
    <row r="90" spans="1:7" ht="15.75">
      <c r="A90" s="46" t="s">
        <v>84</v>
      </c>
      <c r="B90" s="42">
        <f>SUM(B86:B89)</f>
        <v>0</v>
      </c>
      <c r="C90" s="43" t="e">
        <f t="shared" si="17"/>
        <v>#DIV/0!</v>
      </c>
      <c r="D90" s="183"/>
      <c r="E90" s="183"/>
    </row>
    <row r="91" spans="1:7">
      <c r="A91" s="19" t="s">
        <v>85</v>
      </c>
      <c r="B91" s="36"/>
      <c r="C91" s="38" t="e">
        <f t="shared" si="17"/>
        <v>#DIV/0!</v>
      </c>
      <c r="D91" s="182"/>
      <c r="E91" s="182"/>
    </row>
    <row r="92" spans="1:7">
      <c r="A92" s="47" t="s">
        <v>86</v>
      </c>
      <c r="B92" s="36"/>
      <c r="C92" s="38" t="e">
        <f t="shared" si="17"/>
        <v>#DIV/0!</v>
      </c>
      <c r="D92" s="182"/>
      <c r="E92" s="182"/>
    </row>
    <row r="93" spans="1:7">
      <c r="A93" s="47" t="s">
        <v>87</v>
      </c>
      <c r="B93" s="36"/>
      <c r="C93" s="38" t="e">
        <f t="shared" si="17"/>
        <v>#DIV/0!</v>
      </c>
      <c r="D93" s="182"/>
      <c r="E93" s="182"/>
    </row>
    <row r="94" spans="1:7">
      <c r="A94" s="47" t="s">
        <v>88</v>
      </c>
      <c r="B94" s="36"/>
      <c r="C94" s="38" t="e">
        <f t="shared" si="17"/>
        <v>#DIV/0!</v>
      </c>
      <c r="D94" s="182"/>
      <c r="E94" s="182"/>
    </row>
    <row r="95" spans="1:7">
      <c r="A95" s="47" t="s">
        <v>89</v>
      </c>
      <c r="B95" s="36"/>
      <c r="C95" s="38" t="e">
        <f t="shared" si="17"/>
        <v>#DIV/0!</v>
      </c>
      <c r="D95" s="182"/>
      <c r="E95" s="182"/>
    </row>
    <row r="96" spans="1:7" ht="15.75">
      <c r="A96" s="46" t="s">
        <v>90</v>
      </c>
      <c r="B96" s="42">
        <f>SUM(B91:B95)</f>
        <v>0</v>
      </c>
      <c r="C96" s="43" t="e">
        <f t="shared" si="17"/>
        <v>#DIV/0!</v>
      </c>
      <c r="D96" s="183"/>
      <c r="E96" s="183"/>
    </row>
    <row r="97" spans="1:5" ht="15.75">
      <c r="A97" s="21" t="s">
        <v>91</v>
      </c>
      <c r="B97" s="48">
        <f>B85+B90+B96</f>
        <v>0</v>
      </c>
      <c r="C97" s="49" t="e">
        <f t="shared" si="17"/>
        <v>#DIV/0!</v>
      </c>
      <c r="D97" s="184"/>
      <c r="E97" s="184"/>
    </row>
    <row r="98" spans="1:5">
      <c r="A98" s="29" t="s">
        <v>96</v>
      </c>
      <c r="B98" s="36"/>
      <c r="C98" s="38" t="e">
        <f t="shared" si="17"/>
        <v>#DIV/0!</v>
      </c>
      <c r="D98" s="188" t="s">
        <v>154</v>
      </c>
      <c r="E98" s="188"/>
    </row>
    <row r="99" spans="1:5">
      <c r="A99" s="51" t="s">
        <v>98</v>
      </c>
      <c r="B99" s="36"/>
      <c r="C99" s="38" t="e">
        <f t="shared" si="17"/>
        <v>#DIV/0!</v>
      </c>
      <c r="D99" s="188" t="s">
        <v>155</v>
      </c>
      <c r="E99" s="188"/>
    </row>
    <row r="100" spans="1:5">
      <c r="A100" s="29" t="s">
        <v>100</v>
      </c>
      <c r="B100" s="36"/>
      <c r="C100" s="38" t="e">
        <f t="shared" si="17"/>
        <v>#DIV/0!</v>
      </c>
      <c r="D100" s="182"/>
      <c r="E100" s="182"/>
    </row>
    <row r="101" spans="1:5">
      <c r="A101" s="50" t="s">
        <v>97</v>
      </c>
      <c r="B101" s="36"/>
      <c r="C101" s="38" t="e">
        <f t="shared" si="17"/>
        <v>#DIV/0!</v>
      </c>
      <c r="D101" s="182"/>
      <c r="E101" s="182"/>
    </row>
    <row r="102" spans="1:5">
      <c r="A102" s="50" t="s">
        <v>99</v>
      </c>
      <c r="B102" s="36"/>
      <c r="C102" s="38" t="e">
        <f t="shared" si="17"/>
        <v>#DIV/0!</v>
      </c>
      <c r="D102" s="182"/>
      <c r="E102" s="182"/>
    </row>
    <row r="103" spans="1:5">
      <c r="A103" s="50" t="s">
        <v>101</v>
      </c>
      <c r="B103" s="36"/>
      <c r="C103" s="38" t="e">
        <f t="shared" si="17"/>
        <v>#DIV/0!</v>
      </c>
      <c r="D103" s="182"/>
      <c r="E103" s="182"/>
    </row>
    <row r="104" spans="1:5" ht="15.75">
      <c r="A104" s="52" t="s">
        <v>102</v>
      </c>
      <c r="B104" s="48">
        <f>SUM(B98:B103)</f>
        <v>0</v>
      </c>
      <c r="C104" s="49" t="e">
        <f t="shared" si="17"/>
        <v>#DIV/0!</v>
      </c>
      <c r="D104" s="184"/>
      <c r="E104" s="184"/>
    </row>
    <row r="105" spans="1:5" ht="15.75">
      <c r="A105" s="21" t="s">
        <v>103</v>
      </c>
      <c r="B105" s="53"/>
      <c r="C105" s="49" t="e">
        <f t="shared" si="17"/>
        <v>#DIV/0!</v>
      </c>
      <c r="D105" s="184"/>
      <c r="E105" s="184"/>
    </row>
    <row r="106" spans="1:5" ht="15.75">
      <c r="A106" s="57" t="s">
        <v>104</v>
      </c>
      <c r="B106" s="55">
        <f>B97+B104+B105</f>
        <v>0</v>
      </c>
      <c r="C106" s="58" t="e">
        <f>B106/$B$106</f>
        <v>#DIV/0!</v>
      </c>
      <c r="D106" s="182"/>
      <c r="E106" s="182"/>
    </row>
    <row r="108" spans="1:5" ht="25.5" customHeight="1">
      <c r="A108" s="10" t="s">
        <v>105</v>
      </c>
      <c r="B108" s="90" t="str">
        <f>IF(ROUND(B106,0)&lt;&gt;G49,"plan de financement non équilibré", "OK")</f>
        <v>OK</v>
      </c>
    </row>
  </sheetData>
  <mergeCells count="97">
    <mergeCell ref="A8:J8"/>
    <mergeCell ref="A28:C28"/>
    <mergeCell ref="E28:T28"/>
    <mergeCell ref="V28:AE28"/>
    <mergeCell ref="A10:J10"/>
    <mergeCell ref="V30:X30"/>
    <mergeCell ref="Z30:AB30"/>
    <mergeCell ref="AD30:AE30"/>
    <mergeCell ref="AG30:AI30"/>
    <mergeCell ref="A51:G51"/>
    <mergeCell ref="I51:L51"/>
    <mergeCell ref="V51:AB51"/>
    <mergeCell ref="E30:G30"/>
    <mergeCell ref="H30:J30"/>
    <mergeCell ref="K30:M30"/>
    <mergeCell ref="O30:Q30"/>
    <mergeCell ref="S30:T30"/>
    <mergeCell ref="B30:C30"/>
    <mergeCell ref="E41:G41"/>
    <mergeCell ref="F53:G53"/>
    <mergeCell ref="AA53:AB53"/>
    <mergeCell ref="F54:G54"/>
    <mergeCell ref="AA54:AB54"/>
    <mergeCell ref="F55:G55"/>
    <mergeCell ref="AA55:AB55"/>
    <mergeCell ref="F56:G56"/>
    <mergeCell ref="AA56:AB56"/>
    <mergeCell ref="F57:G57"/>
    <mergeCell ref="AA57:AB57"/>
    <mergeCell ref="F58:G58"/>
    <mergeCell ref="AA58:AB58"/>
    <mergeCell ref="F59:G59"/>
    <mergeCell ref="AA59:AB59"/>
    <mergeCell ref="F60:G60"/>
    <mergeCell ref="AA60:AB60"/>
    <mergeCell ref="F61:G61"/>
    <mergeCell ref="AA61:AB61"/>
    <mergeCell ref="F62:G62"/>
    <mergeCell ref="AA62:AB62"/>
    <mergeCell ref="F63:G63"/>
    <mergeCell ref="AA63:AB63"/>
    <mergeCell ref="F64:G64"/>
    <mergeCell ref="AA64:AB64"/>
    <mergeCell ref="F65:G65"/>
    <mergeCell ref="AA65:AB65"/>
    <mergeCell ref="F66:G66"/>
    <mergeCell ref="AA66:AB66"/>
    <mergeCell ref="F67:G67"/>
    <mergeCell ref="AA67:AB67"/>
    <mergeCell ref="F68:G68"/>
    <mergeCell ref="AA68:AB68"/>
    <mergeCell ref="F69:G69"/>
    <mergeCell ref="AA69:AB69"/>
    <mergeCell ref="F70:G70"/>
    <mergeCell ref="AA70:AB70"/>
    <mergeCell ref="F71:G71"/>
    <mergeCell ref="AA71:AB71"/>
    <mergeCell ref="F72:G72"/>
    <mergeCell ref="AA72:AB72"/>
    <mergeCell ref="F73:G73"/>
    <mergeCell ref="AA73:AB73"/>
    <mergeCell ref="F77:G77"/>
    <mergeCell ref="AA77:AB77"/>
    <mergeCell ref="F74:G74"/>
    <mergeCell ref="AA74:AB74"/>
    <mergeCell ref="F75:G75"/>
    <mergeCell ref="AA75:AB75"/>
    <mergeCell ref="F76:G76"/>
    <mergeCell ref="AA76:AB76"/>
    <mergeCell ref="A81:G81"/>
    <mergeCell ref="D82:E82"/>
    <mergeCell ref="D83:E83"/>
    <mergeCell ref="D84:E84"/>
    <mergeCell ref="D85:E85"/>
    <mergeCell ref="D94:E94"/>
    <mergeCell ref="D95:E95"/>
    <mergeCell ref="D86:E86"/>
    <mergeCell ref="D87:E87"/>
    <mergeCell ref="D88:E88"/>
    <mergeCell ref="D89:E89"/>
    <mergeCell ref="D90:E90"/>
    <mergeCell ref="A2:J2"/>
    <mergeCell ref="J76:K76"/>
    <mergeCell ref="D106:E106"/>
    <mergeCell ref="D101:E101"/>
    <mergeCell ref="D102:E102"/>
    <mergeCell ref="D103:E103"/>
    <mergeCell ref="D104:E104"/>
    <mergeCell ref="D105:E105"/>
    <mergeCell ref="D96:E96"/>
    <mergeCell ref="D97:E97"/>
    <mergeCell ref="D98:E98"/>
    <mergeCell ref="D99:E99"/>
    <mergeCell ref="D100:E100"/>
    <mergeCell ref="D91:E91"/>
    <mergeCell ref="D92:E92"/>
    <mergeCell ref="D93:E93"/>
  </mergeCells>
  <conditionalFormatting sqref="B79:C79 W79:X79 J73">
    <cfRule type="expression" dxfId="1" priority="3">
      <formula>NOT(ISERROR(SEARCH("non équilibré",B73)))</formula>
    </cfRule>
  </conditionalFormatting>
  <conditionalFormatting sqref="B108">
    <cfRule type="expression" dxfId="0" priority="1">
      <formula>NOT(ISERROR(SEARCH("non équilibré",B108)))</formula>
    </cfRule>
  </conditionalFormatting>
  <dataValidations count="3">
    <dataValidation type="list" operator="equal" allowBlank="1" showInputMessage="1" showErrorMessage="1" prompt="Sélectionner le stade de l'opération : agrément ou clôture/solde" sqref="A8">
      <formula1>"Tableau financier prévisionnel au stade de l'agrément,Tableau financier définitif au stade du solde/clôture"</formula1>
      <formula2>0</formula2>
    </dataValidation>
    <dataValidation type="list" operator="equal" showInputMessage="1" showErrorMessage="1" prompt="Sélectionner le type de construction" sqref="B14">
      <formula1>"Construction neuve,Acquisition-Amélioration"</formula1>
      <formula2>0</formula2>
    </dataValidation>
    <dataValidation type="list" operator="equal" allowBlank="1" showInputMessage="1" showErrorMessage="1" prompt="Sélectionner la modalité de répartition du HT entre surface habitable et surface utile" sqref="B29">
      <formula1>"Surface utile,Surface habitable"</formula1>
      <formula2>0</formula2>
    </dataValidation>
  </dataValidations>
  <pageMargins left="0.78749999999999998" right="0.78749999999999998" top="0.95416666666666705" bottom="0.95416666666666705" header="0.78749999999999998" footer="0.78749999999999998"/>
  <pageSetup paperSize="11" scale="16" firstPageNumber="0" fitToWidth="0" fitToHeight="0" orientation="landscape" horizontalDpi="300" verticalDpi="300" r:id="rId1"/>
  <headerFooter>
    <oddHeader>&amp;C&amp;"Arial,Normal"&amp;12&amp;A</oddHeader>
    <oddFooter>&amp;C&amp;"Arial,Normal"&amp;12Page &amp;P</oddFooter>
  </headerFooter>
  <colBreaks count="2" manualBreakCount="2">
    <brk id="20" max="1048575" man="1"/>
    <brk id="36"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Notice</vt:lpstr>
      <vt:lpstr>Opération DC non mixte</vt:lpstr>
      <vt:lpstr>Opération MIXTE DC-ANRU </vt:lpstr>
      <vt:lpstr>'Opération DC non mixte'!Zone_d_impression</vt:lpstr>
      <vt:lpstr>'Opération MIXTE DC-ANRU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FAHMI Rand</dc:creator>
  <cp:lastModifiedBy>CANTON Dimitri</cp:lastModifiedBy>
  <cp:revision>1</cp:revision>
  <cp:lastPrinted>2023-08-10T11:58:21Z</cp:lastPrinted>
  <dcterms:created xsi:type="dcterms:W3CDTF">2022-06-24T15:46:14Z</dcterms:created>
  <dcterms:modified xsi:type="dcterms:W3CDTF">2023-08-11T09:26:46Z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